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Court Business Information-Reporting\Staffing Survey\End 2023\Superior 2023\"/>
    </mc:Choice>
  </mc:AlternateContent>
  <xr:revisionPtr revIDLastSave="0" documentId="13_ncr:1_{D377E770-F30B-4872-99EB-502B8A3368BA}" xr6:coauthVersionLast="36" xr6:coauthVersionMax="36" xr10:uidLastSave="{00000000-0000-0000-0000-000000000000}"/>
  <bookViews>
    <workbookView xWindow="0" yWindow="0" windowWidth="28800" windowHeight="12705" tabRatio="407" xr2:uid="{00000000-000D-0000-FFFF-FFFF00000000}"/>
  </bookViews>
  <sheets>
    <sheet name="2023 Superior Staffing" sheetId="1" r:id="rId1"/>
  </sheets>
  <definedNames>
    <definedName name="_xlnm.Print_Titles" localSheetId="0">'2023 Superior Staffing'!$A:$A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9" i="1" l="1"/>
  <c r="N28" i="1"/>
  <c r="N29" i="1"/>
  <c r="N30" i="1"/>
  <c r="N31" i="1"/>
  <c r="O26" i="1" l="1"/>
  <c r="H29" i="1" l="1"/>
  <c r="H30" i="1"/>
  <c r="H31" i="1"/>
  <c r="CE33" i="1" l="1"/>
  <c r="CA33" i="1"/>
  <c r="BY33" i="1"/>
  <c r="BH33" i="1"/>
  <c r="AP33" i="1"/>
  <c r="AR33" i="1"/>
  <c r="E18" i="1"/>
  <c r="BY17" i="1"/>
  <c r="AR17" i="1"/>
  <c r="E17" i="1"/>
  <c r="AZ15" i="1"/>
  <c r="AX15" i="1"/>
  <c r="AR15" i="1"/>
  <c r="AP15" i="1"/>
  <c r="E15" i="1"/>
  <c r="E11" i="1"/>
  <c r="E10" i="1"/>
  <c r="BH20" i="1"/>
  <c r="BC20" i="1"/>
  <c r="AR20" i="1"/>
  <c r="E20" i="1"/>
  <c r="BL7" i="1" l="1"/>
  <c r="AZ7" i="1"/>
  <c r="AR7" i="1"/>
  <c r="BL6" i="1"/>
  <c r="BA6" i="1"/>
  <c r="L5" i="1"/>
  <c r="CE5" i="1"/>
  <c r="AP5" i="1"/>
  <c r="G28" i="1" l="1"/>
  <c r="H33" i="1" l="1"/>
  <c r="BL33" i="1"/>
  <c r="E33" i="1"/>
  <c r="CL27" i="1"/>
  <c r="CE27" i="1"/>
  <c r="BQ27" i="1"/>
  <c r="E27" i="1"/>
  <c r="BI28" i="1"/>
  <c r="AP28" i="1"/>
  <c r="E28" i="1"/>
  <c r="BW11" i="1"/>
  <c r="BV11" i="1"/>
  <c r="AR11" i="1"/>
  <c r="AP11" i="1"/>
  <c r="H11" i="1"/>
  <c r="E5" i="1"/>
  <c r="H22" i="1"/>
  <c r="AR22" i="1"/>
  <c r="E22" i="1"/>
  <c r="E37" i="1"/>
  <c r="H8" i="1"/>
  <c r="AT8" i="1"/>
  <c r="AR8" i="1"/>
  <c r="E8" i="1"/>
  <c r="CE12" i="1"/>
  <c r="AP12" i="1"/>
  <c r="G12" i="1"/>
  <c r="H12" i="1"/>
  <c r="H18" i="1" l="1"/>
  <c r="J18" i="1" s="1"/>
  <c r="BF23" i="1" l="1"/>
  <c r="AZ23" i="1"/>
  <c r="E23" i="1"/>
  <c r="L33" i="1"/>
  <c r="BL16" i="1"/>
  <c r="BJ16" i="1"/>
  <c r="AX16" i="1"/>
  <c r="AU16" i="1"/>
  <c r="J22" i="1"/>
  <c r="H3" i="1"/>
  <c r="H20" i="1"/>
  <c r="H21" i="1"/>
  <c r="H23" i="1"/>
  <c r="H24" i="1"/>
  <c r="H35" i="1"/>
  <c r="H37" i="1"/>
  <c r="H38" i="1"/>
  <c r="H36" i="1"/>
  <c r="M28" i="1"/>
  <c r="AX28" i="1"/>
  <c r="N19" i="1"/>
  <c r="M19" i="1"/>
  <c r="L19" i="1"/>
  <c r="O19" i="1" s="1"/>
  <c r="H19" i="1"/>
  <c r="J19" i="1" s="1"/>
  <c r="G19" i="1"/>
  <c r="J11" i="1" l="1"/>
  <c r="G11" i="1"/>
  <c r="H9" i="1" l="1"/>
  <c r="J30" i="1"/>
  <c r="BA30" i="1"/>
  <c r="H17" i="1"/>
  <c r="L8" i="1" l="1"/>
  <c r="M22" i="1" l="1"/>
  <c r="N22" i="1"/>
  <c r="N11" i="1" l="1"/>
  <c r="L11" i="1"/>
  <c r="N4" i="1" l="1"/>
  <c r="L4" i="1"/>
  <c r="M11" i="1" l="1"/>
  <c r="O11" i="1" s="1"/>
  <c r="J33" i="1" l="1"/>
  <c r="N33" i="1"/>
  <c r="M33" i="1"/>
  <c r="M27" i="1" l="1"/>
  <c r="M20" i="1" l="1"/>
  <c r="M21" i="1"/>
  <c r="J20" i="1"/>
  <c r="L20" i="1"/>
  <c r="M13" i="1" l="1"/>
  <c r="L13" i="1"/>
  <c r="N13" i="1"/>
  <c r="H13" i="1"/>
  <c r="J13" i="1" s="1"/>
  <c r="E35" i="1"/>
  <c r="N18" i="1"/>
  <c r="M18" i="1"/>
  <c r="N17" i="1"/>
  <c r="M17" i="1"/>
  <c r="J17" i="1"/>
  <c r="L17" i="1"/>
  <c r="M5" i="1"/>
  <c r="M12" i="1"/>
  <c r="J12" i="1"/>
  <c r="M30" i="1"/>
  <c r="L30" i="1"/>
  <c r="L31" i="1"/>
  <c r="M31" i="1"/>
  <c r="J31" i="1"/>
  <c r="N7" i="1"/>
  <c r="M7" i="1"/>
  <c r="H7" i="1"/>
  <c r="J7" i="1" s="1"/>
  <c r="N8" i="1"/>
  <c r="M8" i="1"/>
  <c r="J8" i="1"/>
  <c r="J5" i="1"/>
  <c r="N5" i="1"/>
  <c r="O17" i="1" l="1"/>
  <c r="O13" i="1"/>
  <c r="O5" i="1"/>
  <c r="N9" i="1"/>
  <c r="M9" i="1"/>
  <c r="J9" i="1"/>
  <c r="N38" i="1"/>
  <c r="M38" i="1"/>
  <c r="L38" i="1"/>
  <c r="J38" i="1"/>
  <c r="G38" i="1"/>
  <c r="M29" i="1"/>
  <c r="L29" i="1"/>
  <c r="I29" i="1"/>
  <c r="G29" i="1"/>
  <c r="H27" i="1"/>
  <c r="J27" i="1" s="1"/>
  <c r="G27" i="1"/>
  <c r="N27" i="1"/>
  <c r="L27" i="1"/>
  <c r="N26" i="1"/>
  <c r="M26" i="1"/>
  <c r="H26" i="1"/>
  <c r="J26" i="1" s="1"/>
  <c r="G26" i="1"/>
  <c r="N36" i="1"/>
  <c r="M36" i="1"/>
  <c r="L36" i="1"/>
  <c r="G36" i="1"/>
  <c r="L22" i="1"/>
  <c r="O22" i="1" s="1"/>
  <c r="M16" i="1"/>
  <c r="L16" i="1"/>
  <c r="H16" i="1"/>
  <c r="J16" i="1" s="1"/>
  <c r="J23" i="1"/>
  <c r="M23" i="1"/>
  <c r="N23" i="1"/>
  <c r="G23" i="1"/>
  <c r="AY23" i="1"/>
  <c r="L23" i="1" s="1"/>
  <c r="J36" i="1" l="1"/>
  <c r="O23" i="1"/>
  <c r="O27" i="1"/>
  <c r="J29" i="1"/>
  <c r="O36" i="1"/>
  <c r="O38" i="1"/>
  <c r="O29" i="1"/>
  <c r="L9" i="1"/>
  <c r="O9" i="1" s="1"/>
  <c r="O30" i="1" l="1"/>
  <c r="O8" i="1" l="1"/>
  <c r="L26" i="1" l="1"/>
  <c r="L15" i="1" l="1"/>
  <c r="J21" i="1"/>
  <c r="J24" i="1"/>
  <c r="O33" i="1" l="1"/>
  <c r="B39" i="1" l="1"/>
  <c r="C39" i="1"/>
  <c r="D39" i="1"/>
  <c r="L21" i="1" l="1"/>
  <c r="L24" i="1"/>
  <c r="L28" i="1"/>
  <c r="L35" i="1"/>
  <c r="L37" i="1"/>
  <c r="L10" i="1"/>
  <c r="L14" i="1"/>
  <c r="L3" i="1"/>
  <c r="L6" i="1"/>
  <c r="M35" i="1" l="1"/>
  <c r="N21" i="1"/>
  <c r="O21" i="1" s="1"/>
  <c r="G3" i="1" l="1"/>
  <c r="G4" i="1"/>
  <c r="G5" i="1"/>
  <c r="G6" i="1"/>
  <c r="G7" i="1"/>
  <c r="G8" i="1"/>
  <c r="G9" i="1"/>
  <c r="G10" i="1"/>
  <c r="G13" i="1"/>
  <c r="G14" i="1"/>
  <c r="G15" i="1"/>
  <c r="G16" i="1"/>
  <c r="G17" i="1"/>
  <c r="G18" i="1"/>
  <c r="G20" i="1"/>
  <c r="G21" i="1"/>
  <c r="G22" i="1"/>
  <c r="G24" i="1"/>
  <c r="G30" i="1"/>
  <c r="G31" i="1"/>
  <c r="G37" i="1"/>
  <c r="G33" i="1"/>
  <c r="G39" i="1" l="1"/>
  <c r="I37" i="1"/>
  <c r="M37" i="1"/>
  <c r="N37" i="1"/>
  <c r="J37" i="1" l="1"/>
  <c r="O37" i="1"/>
  <c r="H10" i="1" l="1"/>
  <c r="H14" i="1"/>
  <c r="H15" i="1"/>
  <c r="J15" i="1" s="1"/>
  <c r="H28" i="1"/>
  <c r="J28" i="1" s="1"/>
  <c r="E39" i="1"/>
  <c r="N6" i="1"/>
  <c r="I10" i="1"/>
  <c r="J10" i="1" l="1"/>
  <c r="H6" i="1"/>
  <c r="H4" i="1"/>
  <c r="J4" i="1" s="1"/>
  <c r="L18" i="1" l="1"/>
  <c r="O18" i="1" s="1"/>
  <c r="N12" i="1"/>
  <c r="L12" i="1"/>
  <c r="O12" i="1" s="1"/>
  <c r="L7" i="1"/>
  <c r="O7" i="1" s="1"/>
  <c r="I3" i="1"/>
  <c r="M14" i="1" l="1"/>
  <c r="O31" i="1"/>
  <c r="N35" i="1"/>
  <c r="O35" i="1" s="1"/>
  <c r="N14" i="1"/>
  <c r="N15" i="1"/>
  <c r="N16" i="1"/>
  <c r="O16" i="1" s="1"/>
  <c r="N20" i="1"/>
  <c r="O20" i="1" s="1"/>
  <c r="N24" i="1"/>
  <c r="N10" i="1"/>
  <c r="O10" i="1" s="1"/>
  <c r="M3" i="1"/>
  <c r="O24" i="1" l="1"/>
  <c r="O14" i="1"/>
  <c r="L39" i="1"/>
  <c r="J3" i="1"/>
  <c r="N3" i="1"/>
  <c r="N39" i="1" s="1"/>
  <c r="M4" i="1"/>
  <c r="O4" i="1" s="1"/>
  <c r="M6" i="1"/>
  <c r="O6" i="1" s="1"/>
  <c r="I14" i="1"/>
  <c r="J14" i="1" s="1"/>
  <c r="M15" i="1"/>
  <c r="O15" i="1" s="1"/>
  <c r="I21" i="1"/>
  <c r="H39" i="1"/>
  <c r="I24" i="1"/>
  <c r="M24" i="1"/>
  <c r="O28" i="1"/>
  <c r="I35" i="1"/>
  <c r="J35" i="1" s="1"/>
  <c r="I39" i="1" l="1"/>
  <c r="M39" i="1"/>
  <c r="O3" i="1"/>
  <c r="J6" i="1"/>
  <c r="J39" i="1" s="1"/>
  <c r="O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rschcsj</author>
    <author>Pardee, Michelle</author>
  </authors>
  <commentList>
    <comment ref="B11" authorId="0" shapeId="0" xr:uid="{00000000-0006-0000-0000-000003000000}">
      <text>
        <r>
          <rPr>
            <sz val="9"/>
            <color indexed="81"/>
            <rFont val="Tahoma"/>
            <family val="2"/>
          </rPr>
          <t>Judicial District comprised of three counties, sharing two judicial officers.</t>
        </r>
      </text>
    </comment>
    <comment ref="S18" authorId="1" shapeId="0" xr:uid="{CDF438E6-50D4-47F1-883E-A508738B2895}">
      <text>
        <r>
          <rPr>
            <sz val="9"/>
            <color indexed="81"/>
            <rFont val="Tahoma"/>
            <family val="2"/>
          </rPr>
          <t>As needed.</t>
        </r>
      </text>
    </comment>
    <comment ref="A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Judicial District:  Klickitat and Skamania Counties</t>
        </r>
      </text>
    </comment>
    <comment ref="B25" authorId="0" shapeId="0" xr:uid="{00000000-0006-0000-0000-000006000000}">
      <text>
        <r>
          <rPr>
            <sz val="9"/>
            <color indexed="81"/>
            <rFont val="Tahoma"/>
            <family val="2"/>
          </rPr>
          <t>Judicial officers reported above on the Ferry / Stevens / Pend Oreille row.</t>
        </r>
      </text>
    </comment>
    <comment ref="B29" authorId="0" shapeId="0" xr:uid="{00000000-0006-0000-0000-000008000000}">
      <text>
        <r>
          <rPr>
            <sz val="9"/>
            <color indexed="81"/>
            <rFont val="Tahoma"/>
            <family val="2"/>
          </rPr>
          <t>Judical Officers reported above in Klickitat/Skamania</t>
        </r>
      </text>
    </comment>
    <comment ref="B32" authorId="0" shapeId="0" xr:uid="{00000000-0006-0000-0000-000009000000}">
      <text>
        <r>
          <rPr>
            <sz val="9"/>
            <color indexed="81"/>
            <rFont val="Tahoma"/>
            <family val="2"/>
          </rPr>
          <t>Judicial officers reported in Ferry / Stevens / Pend Oreille row</t>
        </r>
      </text>
    </comment>
    <comment ref="B34" authorId="1" shapeId="0" xr:uid="{00000000-0006-0000-0000-00000A000000}">
      <text>
        <r>
          <rPr>
            <sz val="9"/>
            <color indexed="81"/>
            <rFont val="Tahoma"/>
            <family val="2"/>
          </rPr>
          <t>Judicial Officers reoprted under Pacific</t>
        </r>
      </text>
    </comment>
    <comment ref="G35" authorId="0" shapeId="0" xr:uid="{00000000-0006-0000-0000-00000B000000}">
      <text>
        <r>
          <rPr>
            <sz val="9"/>
            <color indexed="81"/>
            <rFont val="Tahoma"/>
            <family val="2"/>
          </rPr>
          <t>Court reporters 
handle court administrator functions.</t>
        </r>
      </text>
    </comment>
  </commentList>
</comments>
</file>

<file path=xl/sharedStrings.xml><?xml version="1.0" encoding="utf-8"?>
<sst xmlns="http://schemas.openxmlformats.org/spreadsheetml/2006/main" count="141" uniqueCount="93">
  <si>
    <t>Statewide Total</t>
  </si>
  <si>
    <t xml:space="preserve">Whitman    </t>
  </si>
  <si>
    <t>Stevens  (See Ferry)</t>
  </si>
  <si>
    <t xml:space="preserve">Spokane    </t>
  </si>
  <si>
    <t xml:space="preserve">Snohomish    </t>
  </si>
  <si>
    <t xml:space="preserve">Skamania </t>
  </si>
  <si>
    <t xml:space="preserve">Skagit  </t>
  </si>
  <si>
    <t>Pend Oreille (See Ferry)</t>
  </si>
  <si>
    <t>Klickitat/Skamania</t>
  </si>
  <si>
    <t xml:space="preserve">Kittitas </t>
  </si>
  <si>
    <t xml:space="preserve">Kitsap    </t>
  </si>
  <si>
    <t>Jefferson</t>
  </si>
  <si>
    <t>Benton &amp; Franklin</t>
  </si>
  <si>
    <t>Court Reporters</t>
  </si>
  <si>
    <t>CONTRACTORS in categories not listed</t>
  </si>
  <si>
    <t>Human Resources</t>
  </si>
  <si>
    <t>Information Technology</t>
  </si>
  <si>
    <t>Finance &amp; Accounting</t>
  </si>
  <si>
    <t>Security</t>
  </si>
  <si>
    <t>FJCIP</t>
  </si>
  <si>
    <t>Interpreter Services</t>
  </si>
  <si>
    <t>Arbitration</t>
  </si>
  <si>
    <t>Child Support Enforcement</t>
  </si>
  <si>
    <t>Civil Commitment</t>
  </si>
  <si>
    <t>GALs     (Title 11 and Title 26 only)</t>
  </si>
  <si>
    <t>Guardianship Monitoring</t>
  </si>
  <si>
    <t>Drug Court and Other Therapeutic Courts</t>
  </si>
  <si>
    <t>Jury Management</t>
  </si>
  <si>
    <t>Court Facilitators</t>
  </si>
  <si>
    <t>Family Court Services</t>
  </si>
  <si>
    <t>Pre-Trial Services</t>
  </si>
  <si>
    <t>Case Management, Calendaring &amp; Scheduling</t>
  </si>
  <si>
    <t>Other Courtroom Support</t>
  </si>
  <si>
    <t>Law Clerks</t>
  </si>
  <si>
    <t>Bailiffs</t>
  </si>
  <si>
    <t>Judicial Assistants</t>
  </si>
  <si>
    <t>Court Administration</t>
  </si>
  <si>
    <t>Court Administrator</t>
  </si>
  <si>
    <t>PARTTIME and TEMPORARY staff in categories not listed</t>
  </si>
  <si>
    <t xml:space="preserve">Court Reporters </t>
  </si>
  <si>
    <t>FTE PERMANENT FULLTIME staff in categories not listed</t>
  </si>
  <si>
    <t>Total Staff - Based on 40 Hour Workweek Standard</t>
  </si>
  <si>
    <t>Staff Work-week</t>
  </si>
  <si>
    <t>Permanent Full-Time Staff</t>
  </si>
  <si>
    <t>Court Administrators (count included in Full-time Staff Total)</t>
  </si>
  <si>
    <t>Authorized but Unfilled Commissioner Positions</t>
  </si>
  <si>
    <t>Part-Time Commissioners (Equivalent FTE)</t>
  </si>
  <si>
    <t>Full-Time Commissioners</t>
  </si>
  <si>
    <t>Authorized but Unfilled Judge Positions</t>
  </si>
  <si>
    <t>CONTRACTORS</t>
  </si>
  <si>
    <t>FTE PERMANENT FULLTIME Staff</t>
  </si>
  <si>
    <t>Administrative</t>
  </si>
  <si>
    <t xml:space="preserve">Judicial </t>
  </si>
  <si>
    <t>FTE PART-TIME and TEMPORARY Staff</t>
  </si>
  <si>
    <t>Perm Part-Time and Temporary Staff</t>
  </si>
  <si>
    <r>
      <t xml:space="preserve">Total FTE Staff - 40 Hour Workweek Standard </t>
    </r>
    <r>
      <rPr>
        <b/>
        <sz val="9"/>
        <color theme="1"/>
        <rFont val="Calibri"/>
        <family val="2"/>
        <scheme val="minor"/>
      </rPr>
      <t>(not including court reporters or contractors)</t>
    </r>
  </si>
  <si>
    <r>
      <t xml:space="preserve">Total Staff  </t>
    </r>
    <r>
      <rPr>
        <b/>
        <sz val="9"/>
        <color theme="1"/>
        <rFont val="Calibri"/>
        <family val="2"/>
        <scheme val="minor"/>
      </rPr>
      <t>(not including court reporters or contractors)</t>
    </r>
  </si>
  <si>
    <t>See Ferry</t>
  </si>
  <si>
    <t>See Pacific</t>
  </si>
  <si>
    <t>See Klickitat for judicial information</t>
  </si>
  <si>
    <t>Judges (FTE)</t>
  </si>
  <si>
    <r>
      <t xml:space="preserve">Court Reporters </t>
    </r>
    <r>
      <rPr>
        <b/>
        <sz val="9"/>
        <rFont val="Calibri"/>
        <family val="2"/>
        <scheme val="minor"/>
      </rPr>
      <t>(not included in Total FTE Staff)</t>
    </r>
  </si>
  <si>
    <t>Grays Harbor</t>
  </si>
  <si>
    <t>*As needed (4)</t>
  </si>
  <si>
    <t>*As needed</t>
  </si>
  <si>
    <t xml:space="preserve">Chelan </t>
  </si>
  <si>
    <t xml:space="preserve">King  </t>
  </si>
  <si>
    <t xml:space="preserve">Lewis </t>
  </si>
  <si>
    <t xml:space="preserve">Thurston </t>
  </si>
  <si>
    <t xml:space="preserve">Ferry/Stevens/Pend Oreille  (Ferry) </t>
  </si>
  <si>
    <r>
      <t xml:space="preserve">Contractors FTE </t>
    </r>
    <r>
      <rPr>
        <b/>
        <sz val="9"/>
        <rFont val="Calibri"/>
        <family val="2"/>
        <scheme val="minor"/>
      </rPr>
      <t>(not included in Total FTE Staff)</t>
    </r>
  </si>
  <si>
    <t>Walla Walla</t>
  </si>
  <si>
    <t xml:space="preserve">Clark </t>
  </si>
  <si>
    <t>*As needed (5)</t>
  </si>
  <si>
    <t xml:space="preserve">Clallam   </t>
  </si>
  <si>
    <t xml:space="preserve">Grant  </t>
  </si>
  <si>
    <t>Okanogan ∆</t>
  </si>
  <si>
    <t>Asotin, Garfield 
and Columbia  ∆</t>
  </si>
  <si>
    <t xml:space="preserve">Whatcom  </t>
  </si>
  <si>
    <t>*As needed (1)</t>
  </si>
  <si>
    <t>∆ 2023 survey not received. Past survey figures used.</t>
  </si>
  <si>
    <t xml:space="preserve">Douglas  </t>
  </si>
  <si>
    <t xml:space="preserve">Lincoln  </t>
  </si>
  <si>
    <t>Mason    ∆</t>
  </si>
  <si>
    <t>Pacific/Wahkiakum  ∆</t>
  </si>
  <si>
    <t>Yakima   ∆</t>
  </si>
  <si>
    <t>Adams   ∆</t>
  </si>
  <si>
    <r>
      <t xml:space="preserve">Wahkiakum </t>
    </r>
    <r>
      <rPr>
        <sz val="9"/>
        <rFont val="Calibri"/>
        <family val="2"/>
      </rPr>
      <t>(See Pacific)</t>
    </r>
  </si>
  <si>
    <t xml:space="preserve">Pierce   </t>
  </si>
  <si>
    <t xml:space="preserve">San Juan   </t>
  </si>
  <si>
    <t xml:space="preserve">Cowlitz </t>
  </si>
  <si>
    <t xml:space="preserve">Island  </t>
  </si>
  <si>
    <r>
      <t xml:space="preserve">Superior Court 
Staffing As of 12/31/2023  </t>
    </r>
    <r>
      <rPr>
        <sz val="10"/>
        <rFont val="Calibri"/>
        <family val="2"/>
      </rPr>
      <t>Counts are full time equivalent employees (FTEs).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</si>
</sst>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Microsoft Sans Serif"/>
      <family val="2"/>
    </font>
    <font>
      <b/>
      <sz val="16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1" fillId="0" borderId="0" xfId="1"/>
    <xf numFmtId="0" fontId="1" fillId="0" borderId="1" xfId="1" applyBorder="1"/>
    <xf numFmtId="0" fontId="2" fillId="0" borderId="0" xfId="1" applyFont="1"/>
    <xf numFmtId="0" fontId="1" fillId="0" borderId="2" xfId="1" applyBorder="1"/>
    <xf numFmtId="0" fontId="1" fillId="0" borderId="3" xfId="1" applyBorder="1"/>
    <xf numFmtId="0" fontId="3" fillId="0" borderId="0" xfId="1" applyFont="1"/>
    <xf numFmtId="2" fontId="3" fillId="0" borderId="4" xfId="1" applyNumberFormat="1" applyFont="1" applyBorder="1"/>
    <xf numFmtId="2" fontId="3" fillId="0" borderId="5" xfId="1" applyNumberFormat="1" applyFont="1" applyBorder="1"/>
    <xf numFmtId="2" fontId="3" fillId="0" borderId="6" xfId="1" applyNumberFormat="1" applyFont="1" applyBorder="1"/>
    <xf numFmtId="164" fontId="3" fillId="0" borderId="6" xfId="1" applyNumberFormat="1" applyFont="1" applyBorder="1"/>
    <xf numFmtId="2" fontId="3" fillId="0" borderId="4" xfId="1" applyNumberFormat="1" applyFont="1" applyFill="1" applyBorder="1"/>
    <xf numFmtId="0" fontId="3" fillId="0" borderId="0" xfId="1" applyFont="1" applyFill="1"/>
    <xf numFmtId="2" fontId="3" fillId="0" borderId="6" xfId="1" applyNumberFormat="1" applyFont="1" applyFill="1" applyBorder="1"/>
    <xf numFmtId="2" fontId="3" fillId="0" borderId="5" xfId="1" applyNumberFormat="1" applyFont="1" applyFill="1" applyBorder="1"/>
    <xf numFmtId="164" fontId="3" fillId="0" borderId="6" xfId="1" applyNumberFormat="1" applyFont="1" applyFill="1" applyBorder="1"/>
    <xf numFmtId="0" fontId="4" fillId="4" borderId="12" xfId="2" applyFont="1" applyFill="1" applyBorder="1" applyAlignment="1">
      <alignment horizontal="center" textRotation="90" wrapText="1"/>
    </xf>
    <xf numFmtId="0" fontId="5" fillId="4" borderId="12" xfId="1" applyFont="1" applyFill="1" applyBorder="1" applyAlignment="1">
      <alignment horizontal="center" textRotation="90" wrapText="1"/>
    </xf>
    <xf numFmtId="0" fontId="6" fillId="4" borderId="12" xfId="1" applyFont="1" applyFill="1" applyBorder="1" applyAlignment="1">
      <alignment horizontal="center" textRotation="90" wrapText="1"/>
    </xf>
    <xf numFmtId="0" fontId="4" fillId="4" borderId="13" xfId="2" applyFont="1" applyFill="1" applyBorder="1" applyAlignment="1">
      <alignment horizontal="center" textRotation="90" wrapText="1"/>
    </xf>
    <xf numFmtId="0" fontId="4" fillId="2" borderId="14" xfId="2" applyFont="1" applyFill="1" applyBorder="1" applyAlignment="1">
      <alignment horizontal="center" textRotation="90" wrapText="1"/>
    </xf>
    <xf numFmtId="0" fontId="4" fillId="2" borderId="12" xfId="2" applyFont="1" applyFill="1" applyBorder="1" applyAlignment="1">
      <alignment horizontal="center" textRotation="90" wrapText="1"/>
    </xf>
    <xf numFmtId="0" fontId="5" fillId="2" borderId="12" xfId="1" applyFont="1" applyFill="1" applyBorder="1" applyAlignment="1">
      <alignment horizontal="center" textRotation="90" wrapText="1"/>
    </xf>
    <xf numFmtId="0" fontId="6" fillId="2" borderId="12" xfId="1" applyFont="1" applyFill="1" applyBorder="1" applyAlignment="1">
      <alignment horizontal="center" textRotation="90" wrapText="1"/>
    </xf>
    <xf numFmtId="0" fontId="4" fillId="2" borderId="13" xfId="2" applyFont="1" applyFill="1" applyBorder="1" applyAlignment="1">
      <alignment horizontal="center" textRotation="90" wrapText="1"/>
    </xf>
    <xf numFmtId="0" fontId="4" fillId="5" borderId="15" xfId="2" applyFont="1" applyFill="1" applyBorder="1" applyAlignment="1">
      <alignment horizontal="center" textRotation="90" wrapText="1"/>
    </xf>
    <xf numFmtId="0" fontId="4" fillId="5" borderId="12" xfId="2" applyFont="1" applyFill="1" applyBorder="1" applyAlignment="1">
      <alignment horizontal="center" textRotation="90" wrapText="1"/>
    </xf>
    <xf numFmtId="0" fontId="5" fillId="5" borderId="12" xfId="1" applyFont="1" applyFill="1" applyBorder="1" applyAlignment="1">
      <alignment horizontal="center" textRotation="90" wrapText="1"/>
    </xf>
    <xf numFmtId="0" fontId="6" fillId="5" borderId="12" xfId="1" applyFont="1" applyFill="1" applyBorder="1" applyAlignment="1">
      <alignment horizontal="center" textRotation="90" wrapText="1"/>
    </xf>
    <xf numFmtId="0" fontId="4" fillId="5" borderId="13" xfId="2" applyFont="1" applyFill="1" applyBorder="1" applyAlignment="1">
      <alignment horizontal="center" textRotation="90" wrapText="1"/>
    </xf>
    <xf numFmtId="2" fontId="4" fillId="6" borderId="16" xfId="1" applyNumberFormat="1" applyFont="1" applyFill="1" applyBorder="1" applyAlignment="1">
      <alignment horizontal="center" textRotation="90" wrapText="1"/>
    </xf>
    <xf numFmtId="2" fontId="4" fillId="6" borderId="0" xfId="1" applyNumberFormat="1" applyFont="1" applyFill="1" applyBorder="1" applyAlignment="1">
      <alignment horizontal="center" textRotation="90" wrapText="1"/>
    </xf>
    <xf numFmtId="0" fontId="6" fillId="6" borderId="18" xfId="1" applyFont="1" applyFill="1" applyBorder="1" applyAlignment="1">
      <alignment horizontal="center" textRotation="90" wrapText="1"/>
    </xf>
    <xf numFmtId="0" fontId="4" fillId="2" borderId="17" xfId="2" applyFont="1" applyFill="1" applyBorder="1" applyAlignment="1">
      <alignment horizontal="center" textRotation="90" wrapText="1"/>
    </xf>
    <xf numFmtId="0" fontId="4" fillId="5" borderId="18" xfId="2" applyFont="1" applyFill="1" applyBorder="1" applyAlignment="1">
      <alignment horizontal="center" textRotation="90" wrapText="1"/>
    </xf>
    <xf numFmtId="0" fontId="6" fillId="6" borderId="0" xfId="1" applyFont="1" applyFill="1" applyBorder="1" applyAlignment="1">
      <alignment horizontal="center" textRotation="90" wrapText="1"/>
    </xf>
    <xf numFmtId="0" fontId="6" fillId="7" borderId="2" xfId="1" applyFont="1" applyFill="1" applyBorder="1" applyAlignment="1">
      <alignment horizontal="center" textRotation="90" wrapText="1"/>
    </xf>
    <xf numFmtId="0" fontId="4" fillId="7" borderId="17" xfId="1" applyFont="1" applyFill="1" applyBorder="1" applyAlignment="1">
      <alignment horizontal="center" textRotation="90" wrapText="1"/>
    </xf>
    <xf numFmtId="0" fontId="6" fillId="7" borderId="17" xfId="1" applyFont="1" applyFill="1" applyBorder="1" applyAlignment="1">
      <alignment horizontal="center" textRotation="90" wrapText="1"/>
    </xf>
    <xf numFmtId="0" fontId="6" fillId="7" borderId="0" xfId="1" applyFont="1" applyFill="1" applyBorder="1" applyAlignment="1">
      <alignment horizontal="center" textRotation="90" wrapText="1"/>
    </xf>
    <xf numFmtId="2" fontId="3" fillId="3" borderId="5" xfId="1" applyNumberFormat="1" applyFont="1" applyFill="1" applyBorder="1"/>
    <xf numFmtId="2" fontId="3" fillId="3" borderId="4" xfId="1" applyNumberFormat="1" applyFont="1" applyFill="1" applyBorder="1"/>
    <xf numFmtId="2" fontId="3" fillId="3" borderId="6" xfId="1" applyNumberFormat="1" applyFont="1" applyFill="1" applyBorder="1"/>
    <xf numFmtId="164" fontId="3" fillId="3" borderId="6" xfId="1" applyNumberFormat="1" applyFont="1" applyFill="1" applyBorder="1"/>
    <xf numFmtId="0" fontId="3" fillId="3" borderId="0" xfId="1" applyFont="1" applyFill="1"/>
    <xf numFmtId="2" fontId="3" fillId="0" borderId="10" xfId="1" applyNumberFormat="1" applyFont="1" applyFill="1" applyBorder="1"/>
    <xf numFmtId="2" fontId="3" fillId="0" borderId="9" xfId="1" applyNumberFormat="1" applyFont="1" applyFill="1" applyBorder="1"/>
    <xf numFmtId="2" fontId="3" fillId="0" borderId="11" xfId="1" applyNumberFormat="1" applyFont="1" applyFill="1" applyBorder="1"/>
    <xf numFmtId="2" fontId="3" fillId="0" borderId="8" xfId="1" applyNumberFormat="1" applyFont="1" applyFill="1" applyBorder="1"/>
    <xf numFmtId="2" fontId="3" fillId="0" borderId="7" xfId="1" applyNumberFormat="1" applyFont="1" applyFill="1" applyBorder="1"/>
    <xf numFmtId="2" fontId="3" fillId="8" borderId="4" xfId="1" applyNumberFormat="1" applyFont="1" applyFill="1" applyBorder="1"/>
    <xf numFmtId="2" fontId="3" fillId="8" borderId="6" xfId="1" applyNumberFormat="1" applyFont="1" applyFill="1" applyBorder="1"/>
    <xf numFmtId="2" fontId="3" fillId="8" borderId="5" xfId="1" applyNumberFormat="1" applyFont="1" applyFill="1" applyBorder="1"/>
    <xf numFmtId="164" fontId="3" fillId="8" borderId="6" xfId="1" applyNumberFormat="1" applyFont="1" applyFill="1" applyBorder="1"/>
    <xf numFmtId="0" fontId="3" fillId="8" borderId="0" xfId="1" applyFont="1" applyFill="1"/>
    <xf numFmtId="0" fontId="3" fillId="0" borderId="5" xfId="1" applyFont="1" applyBorder="1"/>
    <xf numFmtId="0" fontId="13" fillId="0" borderId="23" xfId="1" applyFont="1" applyBorder="1" applyAlignment="1"/>
    <xf numFmtId="164" fontId="3" fillId="0" borderId="4" xfId="1" applyNumberFormat="1" applyFont="1" applyFill="1" applyBorder="1"/>
    <xf numFmtId="164" fontId="3" fillId="0" borderId="4" xfId="1" applyNumberFormat="1" applyFont="1" applyBorder="1"/>
    <xf numFmtId="164" fontId="3" fillId="3" borderId="4" xfId="1" applyNumberFormat="1" applyFont="1" applyFill="1" applyBorder="1"/>
    <xf numFmtId="164" fontId="3" fillId="8" borderId="4" xfId="1" applyNumberFormat="1" applyFont="1" applyFill="1" applyBorder="1"/>
    <xf numFmtId="164" fontId="13" fillId="0" borderId="4" xfId="1" applyNumberFormat="1" applyFont="1" applyFill="1" applyBorder="1"/>
    <xf numFmtId="164" fontId="4" fillId="6" borderId="17" xfId="1" applyNumberFormat="1" applyFont="1" applyFill="1" applyBorder="1" applyAlignment="1">
      <alignment horizontal="center" textRotation="90" wrapText="1"/>
    </xf>
    <xf numFmtId="164" fontId="1" fillId="0" borderId="0" xfId="1" applyNumberFormat="1"/>
    <xf numFmtId="1" fontId="1" fillId="0" borderId="0" xfId="1" applyNumberFormat="1"/>
    <xf numFmtId="2" fontId="13" fillId="0" borderId="6" xfId="1" applyNumberFormat="1" applyFont="1" applyFill="1" applyBorder="1" applyAlignment="1">
      <alignment horizontal="left"/>
    </xf>
    <xf numFmtId="2" fontId="13" fillId="0" borderId="6" xfId="1" applyNumberFormat="1" applyFont="1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wrapText="1"/>
    </xf>
    <xf numFmtId="0" fontId="3" fillId="8" borderId="5" xfId="1" applyFont="1" applyFill="1" applyBorder="1"/>
    <xf numFmtId="0" fontId="14" fillId="0" borderId="0" xfId="1" applyFont="1"/>
    <xf numFmtId="2" fontId="15" fillId="3" borderId="6" xfId="1" applyNumberFormat="1" applyFont="1" applyFill="1" applyBorder="1"/>
    <xf numFmtId="0" fontId="3" fillId="3" borderId="5" xfId="1" applyFont="1" applyFill="1" applyBorder="1"/>
    <xf numFmtId="2" fontId="3" fillId="0" borderId="6" xfId="1" applyNumberFormat="1" applyFont="1" applyFill="1" applyBorder="1" applyAlignment="1">
      <alignment horizontal="left"/>
    </xf>
    <xf numFmtId="0" fontId="1" fillId="0" borderId="0" xfId="1" applyBorder="1"/>
    <xf numFmtId="1" fontId="3" fillId="0" borderId="6" xfId="1" applyNumberFormat="1" applyFont="1" applyFill="1" applyBorder="1"/>
    <xf numFmtId="0" fontId="16" fillId="0" borderId="0" xfId="1" applyFont="1" applyAlignment="1"/>
    <xf numFmtId="2" fontId="13" fillId="0" borderId="6" xfId="1" applyNumberFormat="1" applyFont="1" applyBorder="1" applyAlignment="1">
      <alignment horizontal="left"/>
    </xf>
    <xf numFmtId="2" fontId="3" fillId="3" borderId="6" xfId="1" applyNumberFormat="1" applyFont="1" applyFill="1" applyBorder="1" applyAlignment="1"/>
    <xf numFmtId="164" fontId="3" fillId="0" borderId="6" xfId="1" applyNumberFormat="1" applyFont="1" applyFill="1" applyBorder="1" applyAlignment="1">
      <alignment horizontal="right"/>
    </xf>
    <xf numFmtId="0" fontId="9" fillId="0" borderId="2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" fillId="0" borderId="22" xfId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ill>
        <patternFill>
          <bgColor rgb="FFF7F7F7"/>
        </patternFill>
      </fill>
    </dxf>
    <dxf>
      <fill>
        <patternFill>
          <bgColor rgb="FFF7F7F7"/>
        </patternFill>
      </fill>
    </dxf>
    <dxf>
      <fill>
        <patternFill>
          <bgColor rgb="FFF7F7F7"/>
        </patternFill>
      </fill>
    </dxf>
    <dxf>
      <fill>
        <patternFill>
          <bgColor rgb="FFF7F7F7"/>
        </patternFill>
      </fill>
    </dxf>
    <dxf>
      <fill>
        <patternFill>
          <bgColor rgb="FFF7F7F7"/>
        </patternFill>
      </fill>
    </dxf>
    <dxf>
      <fill>
        <patternFill>
          <bgColor rgb="FFF7F7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42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6" sqref="F26"/>
    </sheetView>
  </sheetViews>
  <sheetFormatPr defaultColWidth="0" defaultRowHeight="15" zeroHeight="1" x14ac:dyDescent="0.25"/>
  <cols>
    <col min="1" max="1" width="21.5703125" style="3" customWidth="1"/>
    <col min="2" max="2" width="5.5703125" style="1" customWidth="1"/>
    <col min="3" max="3" width="4.7109375" style="1" customWidth="1"/>
    <col min="4" max="4" width="6.140625" style="1" customWidth="1"/>
    <col min="5" max="5" width="8" style="1" customWidth="1"/>
    <col min="6" max="6" width="8" style="2" customWidth="1"/>
    <col min="7" max="7" width="8" style="1" customWidth="1"/>
    <col min="8" max="9" width="8.7109375" style="1" customWidth="1"/>
    <col min="10" max="10" width="10.7109375" style="1" customWidth="1"/>
    <col min="11" max="11" width="7" style="1" customWidth="1"/>
    <col min="12" max="12" width="11.42578125" style="1" customWidth="1"/>
    <col min="13" max="13" width="8.7109375" style="63" customWidth="1"/>
    <col min="14" max="15" width="8.7109375" style="1" customWidth="1"/>
    <col min="16" max="16" width="6.28515625" style="1" customWidth="1"/>
    <col min="17" max="17" width="6" style="1" customWidth="1"/>
    <col min="18" max="18" width="5.85546875" style="1" customWidth="1"/>
    <col min="19" max="20" width="5.7109375" style="1" customWidth="1"/>
    <col min="21" max="21" width="4.28515625" style="1" customWidth="1"/>
    <col min="22" max="22" width="6.28515625" style="1" customWidth="1"/>
    <col min="23" max="30" width="5.7109375" style="1" customWidth="1"/>
    <col min="31" max="31" width="4.5703125" style="1" customWidth="1"/>
    <col min="32" max="34" width="5.7109375" style="1" customWidth="1"/>
    <col min="35" max="35" width="4.85546875" style="1" customWidth="1"/>
    <col min="36" max="38" width="5.7109375" style="1" customWidth="1"/>
    <col min="39" max="39" width="7.140625" style="1" customWidth="1"/>
    <col min="40" max="40" width="6.28515625" style="1" customWidth="1"/>
    <col min="41" max="54" width="5.28515625" style="1" customWidth="1"/>
    <col min="55" max="61" width="6.28515625" style="1" customWidth="1"/>
    <col min="62" max="63" width="5.42578125" style="1" customWidth="1"/>
    <col min="64" max="64" width="6.28515625" style="1" customWidth="1"/>
    <col min="65" max="75" width="5.42578125" style="1" customWidth="1"/>
    <col min="76" max="77" width="6.28515625" style="1" customWidth="1"/>
    <col min="78" max="78" width="4.5703125" style="1" customWidth="1"/>
    <col min="79" max="79" width="5.7109375" style="1" customWidth="1"/>
    <col min="80" max="80" width="4.140625" style="1" customWidth="1"/>
    <col min="81" max="81" width="4.7109375" style="1" customWidth="1"/>
    <col min="82" max="82" width="4.140625" style="1" customWidth="1"/>
    <col min="83" max="83" width="5.7109375" style="1" customWidth="1"/>
    <col min="84" max="84" width="4.140625" style="1" customWidth="1"/>
    <col min="85" max="86" width="4.42578125" style="1" customWidth="1"/>
    <col min="87" max="87" width="4.85546875" style="1" customWidth="1"/>
    <col min="88" max="88" width="4.140625" style="1" customWidth="1"/>
    <col min="89" max="90" width="5.7109375" style="1" customWidth="1"/>
    <col min="91" max="16384" width="8.7109375" style="1" hidden="1"/>
  </cols>
  <sheetData>
    <row r="1" spans="1:90" ht="13.5" thickBot="1" x14ac:dyDescent="0.25">
      <c r="A1" s="82" t="s">
        <v>92</v>
      </c>
      <c r="B1" s="84" t="s">
        <v>52</v>
      </c>
      <c r="C1" s="84"/>
      <c r="D1" s="84"/>
      <c r="E1" s="84"/>
      <c r="F1" s="84"/>
      <c r="G1" s="84" t="s">
        <v>51</v>
      </c>
      <c r="H1" s="84"/>
      <c r="I1" s="84"/>
      <c r="J1" s="84"/>
      <c r="K1" s="84"/>
      <c r="L1" s="84"/>
      <c r="M1" s="84"/>
      <c r="N1" s="84"/>
      <c r="O1" s="84"/>
      <c r="P1" s="85" t="s">
        <v>50</v>
      </c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0" t="s">
        <v>53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6"/>
      <c r="BN1" s="80" t="s">
        <v>49</v>
      </c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</row>
    <row r="2" spans="1:90" ht="115.9" customHeight="1" thickBot="1" x14ac:dyDescent="0.25">
      <c r="A2" s="83"/>
      <c r="B2" s="39" t="s">
        <v>60</v>
      </c>
      <c r="C2" s="38" t="s">
        <v>48</v>
      </c>
      <c r="D2" s="38" t="s">
        <v>47</v>
      </c>
      <c r="E2" s="37" t="s">
        <v>46</v>
      </c>
      <c r="F2" s="36" t="s">
        <v>45</v>
      </c>
      <c r="G2" s="35" t="s">
        <v>44</v>
      </c>
      <c r="H2" s="34" t="s">
        <v>43</v>
      </c>
      <c r="I2" s="33" t="s">
        <v>54</v>
      </c>
      <c r="J2" s="32" t="s">
        <v>56</v>
      </c>
      <c r="K2" s="32" t="s">
        <v>42</v>
      </c>
      <c r="L2" s="32" t="s">
        <v>55</v>
      </c>
      <c r="M2" s="62" t="s">
        <v>61</v>
      </c>
      <c r="N2" s="31" t="s">
        <v>70</v>
      </c>
      <c r="O2" s="30" t="s">
        <v>41</v>
      </c>
      <c r="P2" s="29" t="s">
        <v>37</v>
      </c>
      <c r="Q2" s="26" t="s">
        <v>36</v>
      </c>
      <c r="R2" s="26" t="s">
        <v>35</v>
      </c>
      <c r="S2" s="26" t="s">
        <v>34</v>
      </c>
      <c r="T2" s="26" t="s">
        <v>33</v>
      </c>
      <c r="U2" s="26" t="s">
        <v>32</v>
      </c>
      <c r="V2" s="26" t="s">
        <v>31</v>
      </c>
      <c r="W2" s="26" t="s">
        <v>30</v>
      </c>
      <c r="X2" s="26" t="s">
        <v>29</v>
      </c>
      <c r="Y2" s="26" t="s">
        <v>28</v>
      </c>
      <c r="Z2" s="26" t="s">
        <v>27</v>
      </c>
      <c r="AA2" s="26" t="s">
        <v>26</v>
      </c>
      <c r="AB2" s="28" t="s">
        <v>25</v>
      </c>
      <c r="AC2" s="28" t="s">
        <v>24</v>
      </c>
      <c r="AD2" s="27" t="s">
        <v>23</v>
      </c>
      <c r="AE2" s="26" t="s">
        <v>22</v>
      </c>
      <c r="AF2" s="26" t="s">
        <v>21</v>
      </c>
      <c r="AG2" s="26" t="s">
        <v>20</v>
      </c>
      <c r="AH2" s="26" t="s">
        <v>19</v>
      </c>
      <c r="AI2" s="26" t="s">
        <v>18</v>
      </c>
      <c r="AJ2" s="26" t="s">
        <v>17</v>
      </c>
      <c r="AK2" s="26" t="s">
        <v>16</v>
      </c>
      <c r="AL2" s="26" t="s">
        <v>15</v>
      </c>
      <c r="AM2" s="26" t="s">
        <v>40</v>
      </c>
      <c r="AN2" s="25" t="s">
        <v>39</v>
      </c>
      <c r="AO2" s="24" t="s">
        <v>37</v>
      </c>
      <c r="AP2" s="21" t="s">
        <v>36</v>
      </c>
      <c r="AQ2" s="21" t="s">
        <v>35</v>
      </c>
      <c r="AR2" s="21" t="s">
        <v>34</v>
      </c>
      <c r="AS2" s="21" t="s">
        <v>33</v>
      </c>
      <c r="AT2" s="21" t="s">
        <v>32</v>
      </c>
      <c r="AU2" s="21" t="s">
        <v>31</v>
      </c>
      <c r="AV2" s="21" t="s">
        <v>30</v>
      </c>
      <c r="AW2" s="21" t="s">
        <v>29</v>
      </c>
      <c r="AX2" s="21" t="s">
        <v>28</v>
      </c>
      <c r="AY2" s="21" t="s">
        <v>27</v>
      </c>
      <c r="AZ2" s="21" t="s">
        <v>26</v>
      </c>
      <c r="BA2" s="23" t="s">
        <v>25</v>
      </c>
      <c r="BB2" s="23" t="s">
        <v>24</v>
      </c>
      <c r="BC2" s="22" t="s">
        <v>23</v>
      </c>
      <c r="BD2" s="21" t="s">
        <v>22</v>
      </c>
      <c r="BE2" s="21" t="s">
        <v>21</v>
      </c>
      <c r="BF2" s="21" t="s">
        <v>20</v>
      </c>
      <c r="BG2" s="21" t="s">
        <v>19</v>
      </c>
      <c r="BH2" s="21" t="s">
        <v>18</v>
      </c>
      <c r="BI2" s="21" t="s">
        <v>17</v>
      </c>
      <c r="BJ2" s="21" t="s">
        <v>16</v>
      </c>
      <c r="BK2" s="21" t="s">
        <v>15</v>
      </c>
      <c r="BL2" s="21" t="s">
        <v>38</v>
      </c>
      <c r="BM2" s="20" t="s">
        <v>13</v>
      </c>
      <c r="BN2" s="19" t="s">
        <v>37</v>
      </c>
      <c r="BO2" s="16" t="s">
        <v>36</v>
      </c>
      <c r="BP2" s="16" t="s">
        <v>35</v>
      </c>
      <c r="BQ2" s="16" t="s">
        <v>34</v>
      </c>
      <c r="BR2" s="16" t="s">
        <v>33</v>
      </c>
      <c r="BS2" s="16" t="s">
        <v>32</v>
      </c>
      <c r="BT2" s="16" t="s">
        <v>31</v>
      </c>
      <c r="BU2" s="16" t="s">
        <v>30</v>
      </c>
      <c r="BV2" s="16" t="s">
        <v>29</v>
      </c>
      <c r="BW2" s="16" t="s">
        <v>28</v>
      </c>
      <c r="BX2" s="16" t="s">
        <v>27</v>
      </c>
      <c r="BY2" s="16" t="s">
        <v>26</v>
      </c>
      <c r="BZ2" s="18" t="s">
        <v>25</v>
      </c>
      <c r="CA2" s="18" t="s">
        <v>24</v>
      </c>
      <c r="CB2" s="17" t="s">
        <v>23</v>
      </c>
      <c r="CC2" s="16" t="s">
        <v>22</v>
      </c>
      <c r="CD2" s="16" t="s">
        <v>21</v>
      </c>
      <c r="CE2" s="16" t="s">
        <v>20</v>
      </c>
      <c r="CF2" s="16" t="s">
        <v>19</v>
      </c>
      <c r="CG2" s="16" t="s">
        <v>18</v>
      </c>
      <c r="CH2" s="16" t="s">
        <v>17</v>
      </c>
      <c r="CI2" s="16" t="s">
        <v>16</v>
      </c>
      <c r="CJ2" s="16" t="s">
        <v>15</v>
      </c>
      <c r="CK2" s="16" t="s">
        <v>14</v>
      </c>
      <c r="CL2" s="16" t="s">
        <v>13</v>
      </c>
    </row>
    <row r="3" spans="1:90" s="44" customFormat="1" ht="12.75" x14ac:dyDescent="0.2">
      <c r="A3" s="67" t="s">
        <v>86</v>
      </c>
      <c r="B3" s="57">
        <v>1</v>
      </c>
      <c r="C3" s="15"/>
      <c r="D3" s="13"/>
      <c r="E3" s="13"/>
      <c r="F3" s="14"/>
      <c r="G3" s="11">
        <f t="shared" ref="G3:G37" si="0">P3</f>
        <v>1</v>
      </c>
      <c r="H3" s="13">
        <f t="shared" ref="H3:H8" si="1">SUM(P3:AN3)-AN3</f>
        <v>1</v>
      </c>
      <c r="I3" s="13">
        <f t="shared" ref="I3" si="2">SUM(AO3:BM3)</f>
        <v>0</v>
      </c>
      <c r="J3" s="13">
        <f>SUM(P3:BM3)-BM3-AN3</f>
        <v>1</v>
      </c>
      <c r="K3" s="15">
        <v>40</v>
      </c>
      <c r="L3" s="13">
        <f t="shared" ref="L3:L6" si="3">((K3*52)/2080)*SUM(P3:AM3)+SUM(AO3:BL3)</f>
        <v>1</v>
      </c>
      <c r="M3" s="15">
        <f>AN3+BM3</f>
        <v>0</v>
      </c>
      <c r="N3" s="13">
        <f t="shared" ref="N3:N35" si="4">SUM(BN3:CL3)</f>
        <v>0</v>
      </c>
      <c r="O3" s="14">
        <f t="shared" ref="O3:O6" si="5">L3+(M3*(K3*52)/2080)+N3</f>
        <v>1</v>
      </c>
      <c r="P3" s="45">
        <v>1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7"/>
      <c r="AO3" s="45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7"/>
      <c r="BN3" s="45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</row>
    <row r="4" spans="1:90" s="12" customFormat="1" ht="25.5" x14ac:dyDescent="0.2">
      <c r="A4" s="68" t="s">
        <v>77</v>
      </c>
      <c r="B4" s="57">
        <v>1</v>
      </c>
      <c r="C4" s="15"/>
      <c r="D4" s="13"/>
      <c r="E4" s="65" t="s">
        <v>73</v>
      </c>
      <c r="F4" s="14"/>
      <c r="G4" s="11">
        <f t="shared" si="0"/>
        <v>1</v>
      </c>
      <c r="H4" s="13">
        <f t="shared" si="1"/>
        <v>1</v>
      </c>
      <c r="I4" s="13"/>
      <c r="J4" s="13">
        <f>H4+I4</f>
        <v>1</v>
      </c>
      <c r="K4" s="15">
        <v>40</v>
      </c>
      <c r="L4" s="13">
        <f>((K4*52)/2080)*SUM(P4:AM4)+SUM(AO4:BL4)</f>
        <v>1</v>
      </c>
      <c r="M4" s="15">
        <f>AN4+BM4</f>
        <v>0</v>
      </c>
      <c r="N4" s="13">
        <f>SUM(BN4:CL4)</f>
        <v>0</v>
      </c>
      <c r="O4" s="14">
        <f>L4+(M4*(K4*52)/2080)+N4</f>
        <v>1</v>
      </c>
      <c r="P4" s="11">
        <v>1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4"/>
      <c r="AO4" s="11"/>
      <c r="AP4" s="13"/>
      <c r="AQ4" s="13"/>
      <c r="AR4" s="66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4"/>
      <c r="BN4" s="11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</row>
    <row r="5" spans="1:90" s="12" customFormat="1" ht="12.75" x14ac:dyDescent="0.2">
      <c r="A5" s="68" t="s">
        <v>12</v>
      </c>
      <c r="B5" s="57">
        <v>7</v>
      </c>
      <c r="C5" s="15"/>
      <c r="D5" s="13">
        <v>5</v>
      </c>
      <c r="E5" s="13">
        <f>20/40</f>
        <v>0.5</v>
      </c>
      <c r="F5" s="14"/>
      <c r="G5" s="11">
        <f t="shared" si="0"/>
        <v>1</v>
      </c>
      <c r="H5" s="13">
        <v>23</v>
      </c>
      <c r="I5" s="13">
        <v>1</v>
      </c>
      <c r="J5" s="13">
        <f>H5+I5</f>
        <v>24</v>
      </c>
      <c r="K5" s="15">
        <v>40</v>
      </c>
      <c r="L5" s="13">
        <f>((K5*52)/2080)*SUM(P5:AM5)+SUM(AO5:BL5)</f>
        <v>19.75</v>
      </c>
      <c r="M5" s="15">
        <f>AN5+BM5</f>
        <v>4</v>
      </c>
      <c r="N5" s="13">
        <f>SUM(BN5:CL5)</f>
        <v>2</v>
      </c>
      <c r="O5" s="14">
        <f>L5+(M5*(K5*52)/2080)+N5</f>
        <v>25.75</v>
      </c>
      <c r="P5" s="11">
        <v>1</v>
      </c>
      <c r="Q5" s="13">
        <v>5</v>
      </c>
      <c r="R5" s="13">
        <v>1</v>
      </c>
      <c r="S5" s="13">
        <v>8</v>
      </c>
      <c r="T5" s="13"/>
      <c r="U5" s="13"/>
      <c r="V5" s="13"/>
      <c r="W5" s="13"/>
      <c r="X5" s="13">
        <v>1</v>
      </c>
      <c r="Y5" s="13"/>
      <c r="Z5" s="13"/>
      <c r="AA5" s="13">
        <v>3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4">
        <v>4</v>
      </c>
      <c r="AO5" s="11"/>
      <c r="AP5" s="13">
        <f>30/40</f>
        <v>0.75</v>
      </c>
      <c r="AQ5" s="13"/>
      <c r="AR5" s="66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4"/>
      <c r="BN5" s="11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>
        <f>2/(40/40)</f>
        <v>2</v>
      </c>
      <c r="CF5" s="13"/>
      <c r="CG5" s="13"/>
      <c r="CH5" s="13"/>
      <c r="CI5" s="13"/>
      <c r="CJ5" s="13"/>
      <c r="CK5" s="13"/>
      <c r="CL5" s="13"/>
    </row>
    <row r="6" spans="1:90" s="12" customFormat="1" ht="12.75" x14ac:dyDescent="0.2">
      <c r="A6" s="67" t="s">
        <v>65</v>
      </c>
      <c r="B6" s="57">
        <v>3</v>
      </c>
      <c r="C6" s="15">
        <v>1</v>
      </c>
      <c r="D6" s="13">
        <v>1</v>
      </c>
      <c r="E6" s="13">
        <v>0.1</v>
      </c>
      <c r="F6" s="14"/>
      <c r="G6" s="11">
        <f t="shared" si="0"/>
        <v>1</v>
      </c>
      <c r="H6" s="13">
        <f t="shared" si="1"/>
        <v>5</v>
      </c>
      <c r="I6" s="13">
        <v>2</v>
      </c>
      <c r="J6" s="13">
        <f t="shared" ref="J6:J9" si="6">H6+I6</f>
        <v>7</v>
      </c>
      <c r="K6" s="15">
        <v>40</v>
      </c>
      <c r="L6" s="13">
        <f t="shared" si="3"/>
        <v>5.625</v>
      </c>
      <c r="M6" s="15">
        <f t="shared" ref="M6" si="7">AN6+BM6</f>
        <v>1</v>
      </c>
      <c r="N6" s="13">
        <f t="shared" si="4"/>
        <v>0</v>
      </c>
      <c r="O6" s="14">
        <f t="shared" si="5"/>
        <v>6.625</v>
      </c>
      <c r="P6" s="11">
        <v>1</v>
      </c>
      <c r="Q6" s="13">
        <v>0.5</v>
      </c>
      <c r="R6" s="13"/>
      <c r="S6" s="13">
        <v>0.5</v>
      </c>
      <c r="T6" s="13">
        <v>1</v>
      </c>
      <c r="U6" s="13"/>
      <c r="V6" s="13">
        <v>1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>
        <v>0.5</v>
      </c>
      <c r="AH6" s="13">
        <v>0.5</v>
      </c>
      <c r="AI6" s="13"/>
      <c r="AJ6" s="13"/>
      <c r="AK6" s="13"/>
      <c r="AL6" s="13"/>
      <c r="AM6" s="13"/>
      <c r="AN6" s="14">
        <v>1</v>
      </c>
      <c r="AO6" s="11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>
        <f>1*5/40</f>
        <v>0.125</v>
      </c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>
        <f>1*20/40</f>
        <v>0.5</v>
      </c>
      <c r="BM6" s="14"/>
      <c r="BN6" s="11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</row>
    <row r="7" spans="1:90" s="12" customFormat="1" ht="12.75" x14ac:dyDescent="0.2">
      <c r="A7" s="67" t="s">
        <v>74</v>
      </c>
      <c r="B7" s="57">
        <v>3</v>
      </c>
      <c r="C7" s="15"/>
      <c r="D7" s="13">
        <v>1</v>
      </c>
      <c r="E7" s="65"/>
      <c r="F7" s="14"/>
      <c r="G7" s="11">
        <f t="shared" si="0"/>
        <v>1</v>
      </c>
      <c r="H7" s="13">
        <f t="shared" si="1"/>
        <v>5</v>
      </c>
      <c r="I7" s="13">
        <v>6</v>
      </c>
      <c r="J7" s="13">
        <f t="shared" si="6"/>
        <v>11</v>
      </c>
      <c r="K7" s="15">
        <v>40</v>
      </c>
      <c r="L7" s="13">
        <f>((K7*52)/2080)*SUM(P7:AM7)+SUM(AO7:BL7)</f>
        <v>6</v>
      </c>
      <c r="M7" s="15">
        <f>AN7+BM7</f>
        <v>0</v>
      </c>
      <c r="N7" s="13">
        <f>SUM(BN7:CL7)</f>
        <v>0.5</v>
      </c>
      <c r="O7" s="14">
        <f>L7+(M7*(K7*52)/2080)+N7</f>
        <v>6.5</v>
      </c>
      <c r="P7" s="11">
        <v>1</v>
      </c>
      <c r="Q7" s="13">
        <v>1</v>
      </c>
      <c r="R7" s="13"/>
      <c r="S7" s="13"/>
      <c r="T7" s="13"/>
      <c r="U7" s="13"/>
      <c r="V7" s="13"/>
      <c r="W7" s="13"/>
      <c r="X7" s="13"/>
      <c r="Y7" s="13"/>
      <c r="Z7" s="13"/>
      <c r="AA7" s="13">
        <v>2</v>
      </c>
      <c r="AB7" s="13"/>
      <c r="AC7" s="13"/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/>
      <c r="AN7" s="14"/>
      <c r="AO7" s="11"/>
      <c r="AP7" s="13"/>
      <c r="AQ7" s="13"/>
      <c r="AR7" s="73">
        <f>8/40</f>
        <v>0.2</v>
      </c>
      <c r="AS7" s="13"/>
      <c r="AT7" s="13"/>
      <c r="AU7" s="13"/>
      <c r="AV7" s="13"/>
      <c r="AW7" s="13"/>
      <c r="AX7" s="13"/>
      <c r="AY7" s="13"/>
      <c r="AZ7" s="13">
        <f>16/40</f>
        <v>0.4</v>
      </c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>
        <f>16/40</f>
        <v>0.4</v>
      </c>
      <c r="BM7" s="14"/>
      <c r="BN7" s="11"/>
      <c r="BO7" s="13"/>
      <c r="BP7" s="13"/>
      <c r="BQ7" s="13"/>
      <c r="BR7" s="13"/>
      <c r="BS7" s="13"/>
      <c r="BT7" s="13"/>
      <c r="BU7" s="13"/>
      <c r="BV7" s="13"/>
      <c r="BW7" s="13">
        <v>0.5</v>
      </c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</row>
    <row r="8" spans="1:90" s="12" customFormat="1" ht="12.75" x14ac:dyDescent="0.2">
      <c r="A8" s="67" t="s">
        <v>72</v>
      </c>
      <c r="B8" s="57">
        <v>11</v>
      </c>
      <c r="C8" s="15"/>
      <c r="D8" s="13">
        <v>3</v>
      </c>
      <c r="E8" s="13">
        <f>(16/40)*1</f>
        <v>0.4</v>
      </c>
      <c r="F8" s="14"/>
      <c r="G8" s="11">
        <f t="shared" si="0"/>
        <v>1</v>
      </c>
      <c r="H8" s="13">
        <f t="shared" si="1"/>
        <v>25</v>
      </c>
      <c r="I8" s="13">
        <v>9</v>
      </c>
      <c r="J8" s="13">
        <f t="shared" si="6"/>
        <v>34</v>
      </c>
      <c r="K8" s="15">
        <v>40</v>
      </c>
      <c r="L8" s="13">
        <f>((K8*52)/2080)*SUM(P8:AM8)+SUM(AO8:BL8)</f>
        <v>30.875</v>
      </c>
      <c r="M8" s="15">
        <f>AN8+BM8</f>
        <v>0</v>
      </c>
      <c r="N8" s="13">
        <f>SUM(BN8:CL8)</f>
        <v>0</v>
      </c>
      <c r="O8" s="14">
        <f>L8+(M8*(K8*52)/2080)+N8</f>
        <v>30.875</v>
      </c>
      <c r="P8" s="11">
        <v>1</v>
      </c>
      <c r="Q8" s="13">
        <v>2</v>
      </c>
      <c r="R8" s="13">
        <v>12</v>
      </c>
      <c r="S8" s="13"/>
      <c r="T8" s="13"/>
      <c r="U8" s="13"/>
      <c r="V8" s="13"/>
      <c r="W8" s="13"/>
      <c r="X8" s="13">
        <v>1.75</v>
      </c>
      <c r="Y8" s="13"/>
      <c r="Z8" s="13">
        <v>2</v>
      </c>
      <c r="AA8" s="13">
        <v>4</v>
      </c>
      <c r="AB8" s="13"/>
      <c r="AC8" s="13"/>
      <c r="AD8" s="13"/>
      <c r="AE8" s="13"/>
      <c r="AF8" s="13">
        <v>0.25</v>
      </c>
      <c r="AG8" s="13"/>
      <c r="AH8" s="13"/>
      <c r="AI8" s="13"/>
      <c r="AJ8" s="13">
        <v>1</v>
      </c>
      <c r="AK8" s="13">
        <v>1</v>
      </c>
      <c r="AL8" s="13"/>
      <c r="AM8" s="13"/>
      <c r="AN8" s="14"/>
      <c r="AO8" s="11"/>
      <c r="AP8" s="13">
        <v>1</v>
      </c>
      <c r="AQ8" s="13">
        <v>1</v>
      </c>
      <c r="AR8" s="13">
        <f>(20/40)*5</f>
        <v>2.5</v>
      </c>
      <c r="AS8" s="13"/>
      <c r="AT8" s="15">
        <f>(15/40)*1</f>
        <v>0.375</v>
      </c>
      <c r="AU8" s="13"/>
      <c r="AV8" s="13"/>
      <c r="AW8" s="13"/>
      <c r="AX8" s="13"/>
      <c r="AY8" s="13"/>
      <c r="AZ8" s="13"/>
      <c r="BA8" s="13">
        <v>1</v>
      </c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4"/>
      <c r="BN8" s="11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75"/>
      <c r="CE8" s="13"/>
      <c r="CF8" s="13"/>
      <c r="CG8" s="13"/>
      <c r="CH8" s="13"/>
      <c r="CI8" s="13"/>
      <c r="CJ8" s="13"/>
      <c r="CK8" s="13"/>
      <c r="CL8" s="13"/>
    </row>
    <row r="9" spans="1:90" s="12" customFormat="1" ht="12.75" x14ac:dyDescent="0.2">
      <c r="A9" s="67" t="s">
        <v>90</v>
      </c>
      <c r="B9" s="57">
        <v>5</v>
      </c>
      <c r="C9" s="15"/>
      <c r="D9" s="13"/>
      <c r="E9" s="13">
        <v>1</v>
      </c>
      <c r="F9" s="14"/>
      <c r="G9" s="11">
        <f t="shared" si="0"/>
        <v>1</v>
      </c>
      <c r="H9" s="13">
        <f>SUM(P9:AN9)-AN9</f>
        <v>14</v>
      </c>
      <c r="I9" s="13">
        <v>1</v>
      </c>
      <c r="J9" s="13">
        <f t="shared" si="6"/>
        <v>15</v>
      </c>
      <c r="K9" s="15">
        <v>37.5</v>
      </c>
      <c r="L9" s="13">
        <f>((K9*52)/2080)*SUM(P9:AM9)+SUM(AO9:BL9)</f>
        <v>13.85</v>
      </c>
      <c r="M9" s="15">
        <f>((37.5*52)/2080)*(AN9+BM9)</f>
        <v>0</v>
      </c>
      <c r="N9" s="13">
        <f>SUM(BN9:CL9)</f>
        <v>0</v>
      </c>
      <c r="O9" s="14">
        <f>L9+(M9*(K9*52)/2080)+N9</f>
        <v>13.85</v>
      </c>
      <c r="P9" s="11">
        <v>1</v>
      </c>
      <c r="Q9" s="13">
        <v>4</v>
      </c>
      <c r="R9" s="13">
        <v>2</v>
      </c>
      <c r="S9" s="13"/>
      <c r="T9" s="13"/>
      <c r="U9" s="13"/>
      <c r="V9" s="13"/>
      <c r="W9" s="13"/>
      <c r="X9" s="13">
        <v>1</v>
      </c>
      <c r="Y9" s="13"/>
      <c r="Z9" s="13"/>
      <c r="AA9" s="13">
        <v>6</v>
      </c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4"/>
      <c r="AO9" s="11"/>
      <c r="AP9" s="13"/>
      <c r="AQ9" s="13"/>
      <c r="AR9" s="65" t="s">
        <v>64</v>
      </c>
      <c r="AS9" s="13"/>
      <c r="AT9" s="13"/>
      <c r="AU9" s="13"/>
      <c r="AV9" s="13"/>
      <c r="AW9" s="13"/>
      <c r="AX9" s="13"/>
      <c r="AY9" s="13"/>
      <c r="AZ9" s="13">
        <f>29/40</f>
        <v>0.72499999999999998</v>
      </c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4"/>
      <c r="BN9" s="11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</row>
    <row r="10" spans="1:90" s="11" customFormat="1" ht="12.75" x14ac:dyDescent="0.2">
      <c r="A10" s="11" t="s">
        <v>81</v>
      </c>
      <c r="B10" s="57">
        <v>1</v>
      </c>
      <c r="C10" s="57"/>
      <c r="E10" s="78">
        <f>22.38/40</f>
        <v>0.5595</v>
      </c>
      <c r="G10" s="11">
        <f t="shared" si="0"/>
        <v>1</v>
      </c>
      <c r="H10" s="13">
        <f t="shared" ref="H10:H15" si="8">SUM(P10:AN10)-AN10</f>
        <v>2</v>
      </c>
      <c r="I10" s="11">
        <f>SUM(AO10:BM10)</f>
        <v>0.33</v>
      </c>
      <c r="J10" s="13">
        <f t="shared" ref="J10:J14" si="9">H10+I10</f>
        <v>2.33</v>
      </c>
      <c r="K10" s="11">
        <v>40</v>
      </c>
      <c r="L10" s="13">
        <f t="shared" ref="L10:L37" si="10">((K10*52)/2080)*SUM(P10:AM10)+SUM(AO10:BL10)</f>
        <v>2.33</v>
      </c>
      <c r="M10" s="57"/>
      <c r="N10" s="13">
        <f t="shared" si="4"/>
        <v>0</v>
      </c>
      <c r="O10" s="14">
        <f t="shared" ref="O10:O37" si="11">L10+(M10*(K10*52)/2080)+N10</f>
        <v>2.33</v>
      </c>
      <c r="P10" s="11">
        <v>1</v>
      </c>
      <c r="AM10" s="11">
        <v>1</v>
      </c>
      <c r="AR10" s="11">
        <v>0.33</v>
      </c>
    </row>
    <row r="11" spans="1:90" s="12" customFormat="1" ht="25.5" x14ac:dyDescent="0.2">
      <c r="A11" s="68" t="s">
        <v>69</v>
      </c>
      <c r="B11" s="57">
        <v>3</v>
      </c>
      <c r="C11" s="15"/>
      <c r="D11" s="13"/>
      <c r="E11" s="13">
        <f>10/40</f>
        <v>0.25</v>
      </c>
      <c r="F11" s="14"/>
      <c r="G11" s="11">
        <f t="shared" si="0"/>
        <v>1</v>
      </c>
      <c r="H11" s="13">
        <f t="shared" si="8"/>
        <v>3</v>
      </c>
      <c r="I11" s="11">
        <v>6</v>
      </c>
      <c r="J11" s="13">
        <f>H11+I11</f>
        <v>9</v>
      </c>
      <c r="K11" s="15">
        <v>40</v>
      </c>
      <c r="L11" s="13">
        <f>((K11*52)/2080)*SUM(P11:AM11)+SUM(AO11:BL11)</f>
        <v>5.0999999999999996</v>
      </c>
      <c r="M11" s="10">
        <f>((37.5*52)/2080)*(AN11+BM11)</f>
        <v>0</v>
      </c>
      <c r="N11" s="13">
        <f>SUM(BN11:CL11)</f>
        <v>0.4</v>
      </c>
      <c r="O11" s="14">
        <f>L11+(M11*(K11*52)/2080)+N11</f>
        <v>5.5</v>
      </c>
      <c r="P11" s="11">
        <v>1</v>
      </c>
      <c r="Q11" s="13">
        <v>2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4"/>
      <c r="AO11" s="11"/>
      <c r="AP11" s="13">
        <f>24/40</f>
        <v>0.6</v>
      </c>
      <c r="AQ11" s="13"/>
      <c r="AR11" s="13">
        <f>60/40</f>
        <v>1.5</v>
      </c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4"/>
      <c r="BN11" s="11"/>
      <c r="BO11" s="13"/>
      <c r="BP11" s="13"/>
      <c r="BQ11" s="13"/>
      <c r="BR11" s="13"/>
      <c r="BS11" s="13"/>
      <c r="BT11" s="13"/>
      <c r="BU11" s="13"/>
      <c r="BV11" s="13">
        <f>8/40</f>
        <v>0.2</v>
      </c>
      <c r="BW11" s="13">
        <f>8/40</f>
        <v>0.2</v>
      </c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</row>
    <row r="12" spans="1:90" s="12" customFormat="1" ht="12.75" x14ac:dyDescent="0.2">
      <c r="A12" s="67" t="s">
        <v>75</v>
      </c>
      <c r="B12" s="57">
        <v>3</v>
      </c>
      <c r="C12" s="15"/>
      <c r="D12" s="13">
        <v>1</v>
      </c>
      <c r="E12" s="13"/>
      <c r="F12" s="14"/>
      <c r="G12" s="11">
        <f>P12</f>
        <v>1</v>
      </c>
      <c r="H12" s="13">
        <f>SUM(P12:AN12)-AN12</f>
        <v>2.5</v>
      </c>
      <c r="I12" s="13">
        <v>1</v>
      </c>
      <c r="J12" s="13">
        <f>H12+I12</f>
        <v>3.5</v>
      </c>
      <c r="K12" s="15">
        <v>40</v>
      </c>
      <c r="L12" s="13">
        <f>((K12*52)/2080)*SUM(P12:AM12)+SUM(AO12:BL12)</f>
        <v>3</v>
      </c>
      <c r="M12" s="15">
        <f t="shared" ref="M12:M19" si="12">AN12+BM12</f>
        <v>1</v>
      </c>
      <c r="N12" s="13">
        <f>SUM(BN12:CL12)</f>
        <v>0.5</v>
      </c>
      <c r="O12" s="14">
        <f>L12+(M12*(K12*52)/2080)+N12</f>
        <v>4.5</v>
      </c>
      <c r="P12" s="11">
        <v>1</v>
      </c>
      <c r="Q12" s="13">
        <v>0.5</v>
      </c>
      <c r="R12" s="13"/>
      <c r="S12" s="13"/>
      <c r="T12" s="13"/>
      <c r="U12" s="13"/>
      <c r="V12" s="13"/>
      <c r="W12" s="13"/>
      <c r="X12" s="13"/>
      <c r="Y12" s="13"/>
      <c r="Z12" s="13">
        <v>1</v>
      </c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48">
        <v>1</v>
      </c>
      <c r="AO12" s="49"/>
      <c r="AP12" s="11">
        <f>(20/40)*1</f>
        <v>0.5</v>
      </c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4"/>
      <c r="BN12" s="11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>
        <f>(20/40)*1</f>
        <v>0.5</v>
      </c>
      <c r="CF12" s="13"/>
      <c r="CG12" s="13"/>
      <c r="CH12" s="13"/>
      <c r="CI12" s="13"/>
      <c r="CJ12" s="13"/>
      <c r="CK12" s="13"/>
      <c r="CL12" s="13"/>
    </row>
    <row r="13" spans="1:90" s="12" customFormat="1" ht="12.75" x14ac:dyDescent="0.2">
      <c r="A13" s="67" t="s">
        <v>62</v>
      </c>
      <c r="B13" s="57">
        <v>3</v>
      </c>
      <c r="C13" s="15"/>
      <c r="D13" s="13">
        <v>1</v>
      </c>
      <c r="E13" s="13"/>
      <c r="F13" s="14"/>
      <c r="G13" s="11">
        <f t="shared" si="0"/>
        <v>1</v>
      </c>
      <c r="H13" s="13">
        <f>SUM(P13:AN13)-AN13</f>
        <v>9</v>
      </c>
      <c r="I13" s="13"/>
      <c r="J13" s="13">
        <f>H13+I13</f>
        <v>9</v>
      </c>
      <c r="K13" s="15">
        <v>40</v>
      </c>
      <c r="L13" s="13">
        <f>((K13*52)/2080)*SUM(P13:AM13)+SUM(AO13:BL13)</f>
        <v>9</v>
      </c>
      <c r="M13" s="15">
        <f t="shared" si="12"/>
        <v>2</v>
      </c>
      <c r="N13" s="13">
        <f>SUM(BN13:CL13)</f>
        <v>0</v>
      </c>
      <c r="O13" s="14">
        <f>L13+(M13*(K13*52)/2080)+N13</f>
        <v>11</v>
      </c>
      <c r="P13" s="11">
        <v>1</v>
      </c>
      <c r="Q13" s="13">
        <v>1</v>
      </c>
      <c r="R13" s="13">
        <v>0.5</v>
      </c>
      <c r="S13" s="13">
        <v>0.5</v>
      </c>
      <c r="T13" s="13"/>
      <c r="U13" s="13"/>
      <c r="V13" s="13"/>
      <c r="W13" s="13"/>
      <c r="X13" s="13"/>
      <c r="Y13" s="13"/>
      <c r="Z13" s="13"/>
      <c r="AA13" s="13">
        <v>5</v>
      </c>
      <c r="AB13" s="13"/>
      <c r="AC13" s="13"/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/>
      <c r="AN13" s="14">
        <v>2</v>
      </c>
      <c r="AO13" s="11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4"/>
      <c r="BN13" s="11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</row>
    <row r="14" spans="1:90" s="44" customFormat="1" ht="12.75" x14ac:dyDescent="0.2">
      <c r="A14" s="72" t="s">
        <v>91</v>
      </c>
      <c r="B14" s="59">
        <v>2</v>
      </c>
      <c r="C14" s="43"/>
      <c r="D14" s="42"/>
      <c r="E14" s="42"/>
      <c r="F14" s="40"/>
      <c r="G14" s="41">
        <f t="shared" si="0"/>
        <v>1</v>
      </c>
      <c r="H14" s="42">
        <f t="shared" si="8"/>
        <v>4</v>
      </c>
      <c r="I14" s="42">
        <f t="shared" ref="I14:I24" si="13">SUM(AO14:BM14)</f>
        <v>1</v>
      </c>
      <c r="J14" s="42">
        <f t="shared" si="9"/>
        <v>5</v>
      </c>
      <c r="K14" s="43">
        <v>40</v>
      </c>
      <c r="L14" s="42">
        <f t="shared" si="10"/>
        <v>5</v>
      </c>
      <c r="M14" s="43">
        <f t="shared" si="12"/>
        <v>2</v>
      </c>
      <c r="N14" s="42">
        <f t="shared" si="4"/>
        <v>0</v>
      </c>
      <c r="O14" s="40">
        <f t="shared" si="11"/>
        <v>7</v>
      </c>
      <c r="P14" s="41">
        <v>1</v>
      </c>
      <c r="Q14" s="42">
        <v>1</v>
      </c>
      <c r="R14" s="42"/>
      <c r="S14" s="42"/>
      <c r="T14" s="42"/>
      <c r="U14" s="42"/>
      <c r="V14" s="42"/>
      <c r="W14" s="42"/>
      <c r="X14" s="42"/>
      <c r="Y14" s="42">
        <v>1</v>
      </c>
      <c r="Z14" s="42">
        <v>1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0">
        <v>2</v>
      </c>
      <c r="AO14" s="41"/>
      <c r="AP14" s="42"/>
      <c r="AQ14" s="42"/>
      <c r="AR14" s="42">
        <v>1</v>
      </c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0"/>
      <c r="BN14" s="41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</row>
    <row r="15" spans="1:90" s="12" customFormat="1" ht="12.75" x14ac:dyDescent="0.2">
      <c r="A15" s="67" t="s">
        <v>11</v>
      </c>
      <c r="B15" s="57">
        <v>1</v>
      </c>
      <c r="C15" s="15"/>
      <c r="D15" s="13"/>
      <c r="E15" s="13">
        <f>20/40</f>
        <v>0.5</v>
      </c>
      <c r="F15" s="14"/>
      <c r="G15" s="11">
        <f t="shared" si="0"/>
        <v>1</v>
      </c>
      <c r="H15" s="13">
        <f t="shared" si="8"/>
        <v>1</v>
      </c>
      <c r="I15" s="13">
        <v>6</v>
      </c>
      <c r="J15" s="13">
        <f t="shared" ref="J15:J20" si="14">H15+I15</f>
        <v>7</v>
      </c>
      <c r="K15" s="15">
        <v>40</v>
      </c>
      <c r="L15" s="13">
        <f t="shared" ref="L15:L20" si="15">((K15*52)/2080)*SUM(P15:AM15)+SUM(AO15:BL15)</f>
        <v>1.9</v>
      </c>
      <c r="M15" s="15">
        <f t="shared" si="12"/>
        <v>0</v>
      </c>
      <c r="N15" s="13">
        <f t="shared" si="4"/>
        <v>0</v>
      </c>
      <c r="O15" s="14">
        <f t="shared" si="11"/>
        <v>1.9</v>
      </c>
      <c r="P15" s="11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4"/>
      <c r="AO15" s="11"/>
      <c r="AP15" s="13">
        <f>4/40</f>
        <v>0.1</v>
      </c>
      <c r="AQ15" s="13"/>
      <c r="AR15" s="73">
        <f>4/40</f>
        <v>0.1</v>
      </c>
      <c r="AS15" s="13"/>
      <c r="AT15" s="13"/>
      <c r="AU15" s="13"/>
      <c r="AV15" s="13"/>
      <c r="AW15" s="13"/>
      <c r="AX15" s="13">
        <f>8/40</f>
        <v>0.2</v>
      </c>
      <c r="AY15" s="13"/>
      <c r="AZ15" s="13">
        <f>20/40</f>
        <v>0.5</v>
      </c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  <c r="BN15" s="11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</row>
    <row r="16" spans="1:90" s="12" customFormat="1" ht="12.75" x14ac:dyDescent="0.2">
      <c r="A16" s="67" t="s">
        <v>66</v>
      </c>
      <c r="B16" s="57">
        <v>54</v>
      </c>
      <c r="C16" s="15"/>
      <c r="D16" s="13">
        <v>10</v>
      </c>
      <c r="E16" s="13">
        <v>1.6</v>
      </c>
      <c r="F16" s="14"/>
      <c r="G16" s="11">
        <f t="shared" si="0"/>
        <v>1</v>
      </c>
      <c r="H16" s="13">
        <f>SUM(P16:AN16)-AN16</f>
        <v>215</v>
      </c>
      <c r="I16" s="13">
        <v>22</v>
      </c>
      <c r="J16" s="13">
        <f t="shared" si="14"/>
        <v>237</v>
      </c>
      <c r="K16" s="15">
        <v>35</v>
      </c>
      <c r="L16" s="13">
        <f t="shared" si="15"/>
        <v>192.625</v>
      </c>
      <c r="M16" s="15">
        <f t="shared" si="12"/>
        <v>6</v>
      </c>
      <c r="N16" s="13">
        <f t="shared" si="4"/>
        <v>0</v>
      </c>
      <c r="O16" s="14">
        <f>L16+(M16*(K16*52)/2080)+N16</f>
        <v>197.875</v>
      </c>
      <c r="P16" s="11">
        <v>1</v>
      </c>
      <c r="Q16" s="13">
        <v>12</v>
      </c>
      <c r="R16" s="13"/>
      <c r="S16" s="13">
        <v>54</v>
      </c>
      <c r="T16" s="13"/>
      <c r="U16" s="13">
        <v>3</v>
      </c>
      <c r="V16" s="13">
        <v>14</v>
      </c>
      <c r="W16" s="13"/>
      <c r="X16" s="13">
        <v>32</v>
      </c>
      <c r="Y16" s="13">
        <v>6</v>
      </c>
      <c r="Z16" s="13">
        <v>5</v>
      </c>
      <c r="AA16" s="13">
        <v>8</v>
      </c>
      <c r="AB16" s="13">
        <v>1</v>
      </c>
      <c r="AC16" s="13">
        <v>1</v>
      </c>
      <c r="AD16" s="13"/>
      <c r="AE16" s="13"/>
      <c r="AF16" s="13">
        <v>2</v>
      </c>
      <c r="AG16" s="13">
        <v>5</v>
      </c>
      <c r="AH16" s="13">
        <v>1</v>
      </c>
      <c r="AI16" s="13"/>
      <c r="AJ16" s="13">
        <v>7</v>
      </c>
      <c r="AK16" s="13">
        <v>14</v>
      </c>
      <c r="AL16" s="13">
        <v>4</v>
      </c>
      <c r="AM16" s="13">
        <v>45</v>
      </c>
      <c r="AN16" s="14">
        <v>6</v>
      </c>
      <c r="AO16" s="11"/>
      <c r="AP16" s="13"/>
      <c r="AQ16" s="13"/>
      <c r="AR16" s="13">
        <v>1</v>
      </c>
      <c r="AS16" s="13"/>
      <c r="AT16" s="13"/>
      <c r="AU16" s="13">
        <f>35/40</f>
        <v>0.875</v>
      </c>
      <c r="AV16" s="13"/>
      <c r="AW16" s="13"/>
      <c r="AX16" s="13">
        <f>35/40</f>
        <v>0.875</v>
      </c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>
        <f>35/40</f>
        <v>0.875</v>
      </c>
      <c r="BK16" s="13"/>
      <c r="BL16" s="13">
        <f>35/40</f>
        <v>0.875</v>
      </c>
      <c r="BM16" s="14"/>
      <c r="BN16" s="11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</row>
    <row r="17" spans="1:90" s="12" customFormat="1" ht="12.75" x14ac:dyDescent="0.2">
      <c r="A17" s="67" t="s">
        <v>10</v>
      </c>
      <c r="B17" s="57">
        <v>8</v>
      </c>
      <c r="C17" s="15"/>
      <c r="D17" s="13">
        <v>1</v>
      </c>
      <c r="E17" s="13">
        <f>20/40</f>
        <v>0.5</v>
      </c>
      <c r="F17" s="14"/>
      <c r="G17" s="11">
        <f t="shared" si="0"/>
        <v>1</v>
      </c>
      <c r="H17" s="13">
        <f>SUM(P17:AN17)-AN17</f>
        <v>12</v>
      </c>
      <c r="I17" s="13">
        <v>8</v>
      </c>
      <c r="J17" s="13">
        <f t="shared" si="14"/>
        <v>20</v>
      </c>
      <c r="K17" s="15">
        <v>40</v>
      </c>
      <c r="L17" s="13">
        <f t="shared" si="15"/>
        <v>12.875</v>
      </c>
      <c r="M17" s="15">
        <f t="shared" si="12"/>
        <v>3</v>
      </c>
      <c r="N17" s="13">
        <f>SUM(BN17:CL17)</f>
        <v>1</v>
      </c>
      <c r="O17" s="14">
        <f>L17+(M17*(K17*52)/2080)+N17</f>
        <v>16.875</v>
      </c>
      <c r="P17" s="11">
        <v>1</v>
      </c>
      <c r="Q17" s="13">
        <v>1</v>
      </c>
      <c r="R17" s="13">
        <v>1</v>
      </c>
      <c r="S17" s="13"/>
      <c r="T17" s="13">
        <v>2</v>
      </c>
      <c r="U17" s="13"/>
      <c r="V17" s="13">
        <v>1</v>
      </c>
      <c r="W17" s="13"/>
      <c r="X17" s="13"/>
      <c r="Y17" s="13"/>
      <c r="Z17" s="13"/>
      <c r="AA17" s="13">
        <v>5</v>
      </c>
      <c r="AB17" s="13"/>
      <c r="AC17" s="13"/>
      <c r="AD17" s="13"/>
      <c r="AE17" s="13"/>
      <c r="AF17" s="13"/>
      <c r="AG17" s="13"/>
      <c r="AH17" s="13"/>
      <c r="AI17" s="13"/>
      <c r="AJ17" s="13">
        <v>1</v>
      </c>
      <c r="AK17" s="13"/>
      <c r="AL17" s="13"/>
      <c r="AM17" s="13"/>
      <c r="AN17" s="14">
        <v>3</v>
      </c>
      <c r="AO17" s="11"/>
      <c r="AP17" s="13"/>
      <c r="AQ17" s="13"/>
      <c r="AR17" s="13">
        <f>(35/40)</f>
        <v>0.875</v>
      </c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4"/>
      <c r="BN17" s="11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>
        <f>40/40</f>
        <v>1</v>
      </c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</row>
    <row r="18" spans="1:90" s="6" customFormat="1" ht="12.75" x14ac:dyDescent="0.2">
      <c r="A18" s="55" t="s">
        <v>9</v>
      </c>
      <c r="B18" s="57">
        <v>2</v>
      </c>
      <c r="C18" s="10"/>
      <c r="D18" s="9"/>
      <c r="E18" s="9">
        <f>8/40</f>
        <v>0.2</v>
      </c>
      <c r="F18" s="8"/>
      <c r="G18" s="11">
        <f t="shared" si="0"/>
        <v>1</v>
      </c>
      <c r="H18" s="13">
        <f>SUM(P18:AN18)-AN18</f>
        <v>2</v>
      </c>
      <c r="I18" s="13"/>
      <c r="J18" s="13">
        <f t="shared" si="14"/>
        <v>2</v>
      </c>
      <c r="K18" s="10">
        <v>40</v>
      </c>
      <c r="L18" s="13">
        <f t="shared" si="15"/>
        <v>2</v>
      </c>
      <c r="M18" s="15">
        <f t="shared" si="12"/>
        <v>0</v>
      </c>
      <c r="N18" s="13">
        <f>SUM(BN18:CL18)</f>
        <v>0</v>
      </c>
      <c r="O18" s="14">
        <f>L18+(M18*(K18*52)/2080)+N18</f>
        <v>2</v>
      </c>
      <c r="P18" s="7">
        <v>1</v>
      </c>
      <c r="Q18" s="9">
        <v>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8"/>
      <c r="AO18" s="7"/>
      <c r="AQ18" s="9"/>
      <c r="AR18" s="77" t="s">
        <v>79</v>
      </c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8"/>
      <c r="BN18" s="7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</row>
    <row r="19" spans="1:90" s="12" customFormat="1" ht="12.75" x14ac:dyDescent="0.2">
      <c r="A19" s="67" t="s">
        <v>8</v>
      </c>
      <c r="B19" s="57">
        <v>1</v>
      </c>
      <c r="C19" s="15"/>
      <c r="D19" s="13"/>
      <c r="E19" s="13">
        <v>0.33</v>
      </c>
      <c r="F19" s="14"/>
      <c r="G19" s="11">
        <f t="shared" si="0"/>
        <v>1</v>
      </c>
      <c r="H19" s="13">
        <f>SUM(P19:AN19)-AN19</f>
        <v>2</v>
      </c>
      <c r="I19" s="13">
        <v>0</v>
      </c>
      <c r="J19" s="13">
        <f t="shared" ref="J19" si="16">H19+I19</f>
        <v>2</v>
      </c>
      <c r="K19" s="15">
        <v>40</v>
      </c>
      <c r="L19" s="13">
        <f t="shared" si="15"/>
        <v>2</v>
      </c>
      <c r="M19" s="15">
        <f t="shared" si="12"/>
        <v>0</v>
      </c>
      <c r="N19" s="13">
        <f t="shared" ref="N19" si="17">SUM(BN19:CL19)</f>
        <v>0</v>
      </c>
      <c r="O19" s="14">
        <f>L19+(M19*(K19*52)/2080)+N19</f>
        <v>2</v>
      </c>
      <c r="P19" s="11">
        <v>1</v>
      </c>
      <c r="Q19" s="13">
        <v>0.75</v>
      </c>
      <c r="R19" s="13"/>
      <c r="S19" s="13">
        <v>0.25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/>
      <c r="AO19" s="11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  <c r="BN19" s="11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</row>
    <row r="20" spans="1:90" s="12" customFormat="1" ht="12" customHeight="1" x14ac:dyDescent="0.2">
      <c r="A20" s="67" t="s">
        <v>67</v>
      </c>
      <c r="B20" s="57">
        <v>3</v>
      </c>
      <c r="C20" s="15"/>
      <c r="D20" s="13">
        <v>1</v>
      </c>
      <c r="E20" s="13">
        <f>2.55/40</f>
        <v>6.3750000000000001E-2</v>
      </c>
      <c r="F20" s="14"/>
      <c r="G20" s="11">
        <f t="shared" si="0"/>
        <v>2</v>
      </c>
      <c r="H20" s="13">
        <f t="shared" ref="H20:H31" si="18">SUM(P20:AN20)-AN20</f>
        <v>7</v>
      </c>
      <c r="I20" s="13">
        <v>8</v>
      </c>
      <c r="J20" s="13">
        <f t="shared" si="14"/>
        <v>15</v>
      </c>
      <c r="K20" s="15">
        <v>40</v>
      </c>
      <c r="L20" s="13">
        <f t="shared" si="15"/>
        <v>8.6914999999999996</v>
      </c>
      <c r="M20" s="15">
        <f>AN20+BM20</f>
        <v>2</v>
      </c>
      <c r="N20" s="13">
        <f t="shared" si="4"/>
        <v>0</v>
      </c>
      <c r="O20" s="14">
        <f>L20+(M20*(K20*52)/2080)+N20</f>
        <v>10.6915</v>
      </c>
      <c r="P20" s="11">
        <v>2</v>
      </c>
      <c r="Q20" s="13">
        <v>2</v>
      </c>
      <c r="R20" s="13"/>
      <c r="S20" s="13"/>
      <c r="T20" s="13"/>
      <c r="U20" s="13"/>
      <c r="V20" s="13"/>
      <c r="W20" s="13"/>
      <c r="X20" s="13"/>
      <c r="Y20" s="13"/>
      <c r="Z20" s="13"/>
      <c r="AA20" s="13">
        <v>2</v>
      </c>
      <c r="AB20" s="13"/>
      <c r="AC20" s="13"/>
      <c r="AD20" s="13"/>
      <c r="AE20" s="13"/>
      <c r="AF20" s="13"/>
      <c r="AG20" s="13"/>
      <c r="AH20" s="13"/>
      <c r="AI20" s="13"/>
      <c r="AJ20" s="13">
        <v>1</v>
      </c>
      <c r="AK20" s="13"/>
      <c r="AL20" s="13"/>
      <c r="AM20" s="13"/>
      <c r="AN20" s="14">
        <v>2</v>
      </c>
      <c r="AO20" s="11"/>
      <c r="AP20" s="13"/>
      <c r="AQ20" s="13"/>
      <c r="AR20" s="13">
        <f>21.34/40</f>
        <v>0.53349999999999997</v>
      </c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>
        <f>2/40</f>
        <v>0.05</v>
      </c>
      <c r="BD20" s="13"/>
      <c r="BE20" s="13"/>
      <c r="BF20" s="13"/>
      <c r="BG20" s="13"/>
      <c r="BH20" s="13">
        <f>44.32/40</f>
        <v>1.1080000000000001</v>
      </c>
      <c r="BI20" s="13"/>
      <c r="BJ20" s="13"/>
      <c r="BK20" s="13"/>
      <c r="BL20" s="13"/>
      <c r="BM20" s="14"/>
      <c r="BN20" s="11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</row>
    <row r="21" spans="1:90" s="12" customFormat="1" ht="12.75" x14ac:dyDescent="0.2">
      <c r="A21" s="67" t="s">
        <v>82</v>
      </c>
      <c r="B21" s="57">
        <v>1</v>
      </c>
      <c r="C21" s="15"/>
      <c r="D21" s="13"/>
      <c r="E21" s="13"/>
      <c r="F21" s="14"/>
      <c r="G21" s="11">
        <f t="shared" si="0"/>
        <v>1</v>
      </c>
      <c r="H21" s="13">
        <f t="shared" si="18"/>
        <v>9</v>
      </c>
      <c r="I21" s="13">
        <f t="shared" si="13"/>
        <v>3</v>
      </c>
      <c r="J21" s="13">
        <f t="shared" ref="J21:J24" si="19">SUM(P21:BM21)-BM21-AN21</f>
        <v>11</v>
      </c>
      <c r="K21" s="15">
        <v>40</v>
      </c>
      <c r="L21" s="13">
        <f t="shared" si="10"/>
        <v>11</v>
      </c>
      <c r="M21" s="15">
        <f>AN21+BM21</f>
        <v>1</v>
      </c>
      <c r="N21" s="13">
        <f t="shared" si="4"/>
        <v>0</v>
      </c>
      <c r="O21" s="14">
        <f t="shared" si="11"/>
        <v>12</v>
      </c>
      <c r="P21" s="11">
        <v>1</v>
      </c>
      <c r="Q21" s="13"/>
      <c r="R21" s="13"/>
      <c r="S21" s="13"/>
      <c r="T21" s="13"/>
      <c r="U21" s="13"/>
      <c r="V21" s="13"/>
      <c r="W21" s="13"/>
      <c r="X21" s="13"/>
      <c r="Y21" s="13"/>
      <c r="Z21" s="13">
        <v>2</v>
      </c>
      <c r="AA21" s="13"/>
      <c r="AB21" s="13"/>
      <c r="AC21" s="13">
        <v>5</v>
      </c>
      <c r="AD21" s="13">
        <v>1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4"/>
      <c r="AO21" s="11"/>
      <c r="AP21" s="13"/>
      <c r="AQ21" s="13"/>
      <c r="AR21" s="13">
        <v>1</v>
      </c>
      <c r="AS21" s="13">
        <v>1</v>
      </c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4">
        <v>1</v>
      </c>
      <c r="BN21" s="11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</row>
    <row r="22" spans="1:90" s="54" customFormat="1" ht="12.75" x14ac:dyDescent="0.2">
      <c r="A22" s="69" t="s">
        <v>83</v>
      </c>
      <c r="B22" s="60">
        <v>3</v>
      </c>
      <c r="C22" s="53"/>
      <c r="D22" s="51">
        <v>1</v>
      </c>
      <c r="E22" s="51">
        <f>8/40</f>
        <v>0.2</v>
      </c>
      <c r="F22" s="52"/>
      <c r="G22" s="11">
        <f t="shared" si="0"/>
        <v>1</v>
      </c>
      <c r="H22" s="13">
        <f t="shared" si="18"/>
        <v>9</v>
      </c>
      <c r="I22" s="51">
        <v>3</v>
      </c>
      <c r="J22" s="13">
        <f>H22+I22</f>
        <v>12</v>
      </c>
      <c r="K22" s="53">
        <v>40</v>
      </c>
      <c r="L22" s="13">
        <f>((K22*52)/2080)*SUM(P22:AM22)+SUM(AO22:BL22)</f>
        <v>9.4</v>
      </c>
      <c r="M22" s="51">
        <f>AN22+BM22</f>
        <v>0</v>
      </c>
      <c r="N22" s="51">
        <f>SUM(BN22:CL22)</f>
        <v>0</v>
      </c>
      <c r="O22" s="14">
        <f>L22+(M22*(K22*52)/2080)+N22</f>
        <v>9.4</v>
      </c>
      <c r="P22" s="50">
        <v>1</v>
      </c>
      <c r="Q22" s="51"/>
      <c r="R22" s="51">
        <v>3</v>
      </c>
      <c r="S22" s="51"/>
      <c r="T22" s="51"/>
      <c r="U22" s="51"/>
      <c r="V22" s="51"/>
      <c r="W22" s="51"/>
      <c r="X22" s="51"/>
      <c r="Y22" s="51">
        <v>1</v>
      </c>
      <c r="Z22" s="51"/>
      <c r="AA22" s="51">
        <v>4</v>
      </c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2"/>
      <c r="AO22" s="50"/>
      <c r="AP22" s="51"/>
      <c r="AQ22" s="51"/>
      <c r="AR22" s="51">
        <f>16/40</f>
        <v>0.4</v>
      </c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2"/>
      <c r="BN22" s="50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</row>
    <row r="23" spans="1:90" s="12" customFormat="1" ht="12.75" x14ac:dyDescent="0.2">
      <c r="A23" s="67" t="s">
        <v>76</v>
      </c>
      <c r="B23" s="57">
        <v>2</v>
      </c>
      <c r="C23" s="15"/>
      <c r="D23" s="13"/>
      <c r="E23" s="13">
        <f>16/40</f>
        <v>0.4</v>
      </c>
      <c r="F23" s="14"/>
      <c r="G23" s="11">
        <f>P23</f>
        <v>0</v>
      </c>
      <c r="H23" s="13">
        <f t="shared" si="18"/>
        <v>3</v>
      </c>
      <c r="I23" s="13">
        <v>4</v>
      </c>
      <c r="J23" s="13">
        <f>H23+I23</f>
        <v>7</v>
      </c>
      <c r="K23" s="15">
        <v>40</v>
      </c>
      <c r="L23" s="13">
        <f>((K23*52)/2080)*SUM(P23:AM23)+SUM(AO23:BL23)</f>
        <v>3.65</v>
      </c>
      <c r="M23" s="15">
        <f>AN23+BM23</f>
        <v>0</v>
      </c>
      <c r="N23" s="13">
        <f>SUM(BN23:CL23)</f>
        <v>0</v>
      </c>
      <c r="O23" s="14">
        <f>L23+(M23*(K23*52)/2080)+N23</f>
        <v>3.65</v>
      </c>
      <c r="P23" s="11"/>
      <c r="Q23" s="13"/>
      <c r="R23" s="13"/>
      <c r="S23" s="13">
        <v>1</v>
      </c>
      <c r="T23" s="13"/>
      <c r="U23" s="13"/>
      <c r="V23" s="13">
        <v>1</v>
      </c>
      <c r="W23" s="13"/>
      <c r="X23" s="13"/>
      <c r="Y23" s="13">
        <v>1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4"/>
      <c r="AO23" s="11"/>
      <c r="AP23" s="13"/>
      <c r="AQ23" s="13"/>
      <c r="AR23" s="13"/>
      <c r="AS23" s="13"/>
      <c r="AT23" s="13"/>
      <c r="AU23" s="13"/>
      <c r="AV23" s="13"/>
      <c r="AW23" s="13"/>
      <c r="AX23" s="13"/>
      <c r="AY23" s="13">
        <f>16/40</f>
        <v>0.4</v>
      </c>
      <c r="AZ23" s="13">
        <f>6/40</f>
        <v>0.15</v>
      </c>
      <c r="BA23" s="13"/>
      <c r="BB23" s="13"/>
      <c r="BC23" s="13"/>
      <c r="BD23" s="13"/>
      <c r="BE23" s="13"/>
      <c r="BF23" s="13">
        <f>4/40</f>
        <v>0.1</v>
      </c>
      <c r="BG23" s="13"/>
      <c r="BH23" s="13"/>
      <c r="BI23" s="13"/>
      <c r="BJ23" s="13"/>
      <c r="BK23" s="13"/>
      <c r="BL23" s="13"/>
      <c r="BM23" s="14"/>
      <c r="BN23" s="11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</row>
    <row r="24" spans="1:90" s="12" customFormat="1" ht="12.75" x14ac:dyDescent="0.2">
      <c r="A24" s="67" t="s">
        <v>84</v>
      </c>
      <c r="B24" s="57">
        <v>1</v>
      </c>
      <c r="C24" s="15"/>
      <c r="D24" s="13"/>
      <c r="E24" s="13"/>
      <c r="F24" s="14"/>
      <c r="G24" s="11">
        <f t="shared" si="0"/>
        <v>1</v>
      </c>
      <c r="H24" s="13">
        <f t="shared" si="18"/>
        <v>2</v>
      </c>
      <c r="I24" s="13">
        <f t="shared" si="13"/>
        <v>0</v>
      </c>
      <c r="J24" s="13">
        <f t="shared" si="19"/>
        <v>2</v>
      </c>
      <c r="K24" s="15">
        <v>40</v>
      </c>
      <c r="L24" s="13">
        <f t="shared" si="10"/>
        <v>2</v>
      </c>
      <c r="M24" s="15">
        <f t="shared" ref="M24" si="20">AN24+BM24</f>
        <v>0</v>
      </c>
      <c r="N24" s="13">
        <f t="shared" si="4"/>
        <v>0.1</v>
      </c>
      <c r="O24" s="14">
        <f t="shared" si="11"/>
        <v>2.1</v>
      </c>
      <c r="P24" s="11">
        <v>1</v>
      </c>
      <c r="Q24" s="13">
        <v>1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4"/>
      <c r="AO24" s="11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4"/>
      <c r="BN24" s="11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>
        <v>0.1</v>
      </c>
      <c r="CF24" s="13"/>
      <c r="CG24" s="13"/>
      <c r="CH24" s="13"/>
      <c r="CI24" s="13"/>
      <c r="CJ24" s="13"/>
      <c r="CK24" s="13"/>
      <c r="CL24" s="13"/>
    </row>
    <row r="25" spans="1:90" s="6" customFormat="1" ht="12.75" x14ac:dyDescent="0.2">
      <c r="A25" s="55" t="s">
        <v>7</v>
      </c>
      <c r="B25" s="61" t="s">
        <v>57</v>
      </c>
      <c r="C25" s="10"/>
      <c r="D25" s="9"/>
      <c r="E25" s="9"/>
      <c r="F25" s="8"/>
      <c r="G25" s="11"/>
      <c r="H25" s="9"/>
      <c r="I25" s="13"/>
      <c r="J25" s="13"/>
      <c r="K25" s="10"/>
      <c r="L25" s="13"/>
      <c r="M25" s="10"/>
      <c r="N25" s="13"/>
      <c r="O25" s="14"/>
      <c r="P25" s="7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8"/>
      <c r="AO25" s="7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8"/>
      <c r="BN25" s="7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</row>
    <row r="26" spans="1:90" s="12" customFormat="1" ht="12.75" x14ac:dyDescent="0.2">
      <c r="A26" s="67" t="s">
        <v>88</v>
      </c>
      <c r="B26" s="57">
        <v>23</v>
      </c>
      <c r="C26" s="15">
        <v>1</v>
      </c>
      <c r="D26" s="13">
        <v>10</v>
      </c>
      <c r="E26" s="13"/>
      <c r="F26" s="14"/>
      <c r="G26" s="11">
        <f>P26</f>
        <v>1</v>
      </c>
      <c r="H26" s="13">
        <f t="shared" si="18"/>
        <v>56</v>
      </c>
      <c r="I26" s="75"/>
      <c r="J26" s="13">
        <f>H26+I26</f>
        <v>56</v>
      </c>
      <c r="K26" s="13">
        <v>37.5</v>
      </c>
      <c r="L26" s="13">
        <f>((K26*52)/2080)*SUM(P26:AM26)+SUM(AO26:BL26)</f>
        <v>52.5</v>
      </c>
      <c r="M26" s="15">
        <f t="shared" ref="M26:M29" si="21">AN26+BM26</f>
        <v>23</v>
      </c>
      <c r="N26" s="13">
        <f>SUM(BN26:CL26)</f>
        <v>0</v>
      </c>
      <c r="O26" s="14">
        <f>L26+(M26*(K26*52)/2080)+N26</f>
        <v>74.0625</v>
      </c>
      <c r="P26" s="11">
        <v>1</v>
      </c>
      <c r="Q26" s="13">
        <v>11</v>
      </c>
      <c r="R26" s="13">
        <v>23</v>
      </c>
      <c r="S26" s="13"/>
      <c r="T26" s="13"/>
      <c r="U26" s="13">
        <v>2</v>
      </c>
      <c r="V26" s="13">
        <v>3</v>
      </c>
      <c r="W26" s="13"/>
      <c r="X26" s="13">
        <v>3</v>
      </c>
      <c r="Y26" s="13"/>
      <c r="Z26" s="13">
        <v>3</v>
      </c>
      <c r="AA26" s="13">
        <v>2</v>
      </c>
      <c r="AB26" s="13"/>
      <c r="AC26" s="13">
        <v>1</v>
      </c>
      <c r="AD26" s="13"/>
      <c r="AE26" s="13"/>
      <c r="AF26" s="13"/>
      <c r="AG26" s="13">
        <v>2</v>
      </c>
      <c r="AH26" s="13"/>
      <c r="AI26" s="13"/>
      <c r="AJ26" s="13">
        <v>2</v>
      </c>
      <c r="AK26" s="13">
        <v>3</v>
      </c>
      <c r="AL26" s="13"/>
      <c r="AM26" s="13"/>
      <c r="AN26" s="14">
        <v>23</v>
      </c>
      <c r="AO26" s="11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I26" s="13"/>
      <c r="BJ26" s="13"/>
      <c r="BK26" s="13"/>
      <c r="BL26" s="13"/>
      <c r="BM26" s="14"/>
      <c r="BN26" s="11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</row>
    <row r="27" spans="1:90" s="12" customFormat="1" ht="12.75" x14ac:dyDescent="0.2">
      <c r="A27" s="55" t="s">
        <v>89</v>
      </c>
      <c r="B27" s="57">
        <v>1</v>
      </c>
      <c r="C27" s="10"/>
      <c r="D27" s="9"/>
      <c r="E27" s="73">
        <f>4/40</f>
        <v>0.1</v>
      </c>
      <c r="F27" s="8"/>
      <c r="G27" s="11">
        <f>P27</f>
        <v>1</v>
      </c>
      <c r="H27" s="13">
        <f t="shared" si="18"/>
        <v>1</v>
      </c>
      <c r="I27" s="13">
        <v>1</v>
      </c>
      <c r="J27" s="13">
        <f>H27+I27</f>
        <v>2</v>
      </c>
      <c r="K27" s="13">
        <v>32</v>
      </c>
      <c r="L27" s="13">
        <f>((K27*52)/2080)*SUM(P27:AM27)+SUM(AO27:BL27)</f>
        <v>1.6</v>
      </c>
      <c r="M27" s="15">
        <f>AN27+BM27</f>
        <v>0</v>
      </c>
      <c r="N27" s="13">
        <f>SUM(BN27:CL27)</f>
        <v>1.6249999999999998</v>
      </c>
      <c r="O27" s="14">
        <f>L27+(M27*(K27*52)/2080)+N27</f>
        <v>3.2249999999999996</v>
      </c>
      <c r="P27" s="7">
        <v>1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8"/>
      <c r="AO27" s="7"/>
      <c r="AP27" s="9"/>
      <c r="AQ27" s="9">
        <v>0.8</v>
      </c>
      <c r="AR27" s="9"/>
      <c r="AS27" s="9"/>
      <c r="AU27" s="9"/>
      <c r="AV27" s="9"/>
      <c r="AW27" s="9"/>
      <c r="AX27" s="9"/>
      <c r="AY27" s="9"/>
      <c r="AZ27" s="9"/>
      <c r="BA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8"/>
      <c r="BN27" s="7"/>
      <c r="BO27" s="9"/>
      <c r="BP27" s="9"/>
      <c r="BQ27" s="9">
        <f>(4/40)*4</f>
        <v>0.4</v>
      </c>
      <c r="BR27" s="9"/>
      <c r="BS27" s="9">
        <v>0.42</v>
      </c>
      <c r="BT27" s="9"/>
      <c r="BU27" s="9"/>
      <c r="BV27" s="9"/>
      <c r="BW27" s="9"/>
      <c r="BX27" s="9"/>
      <c r="BY27" s="9"/>
      <c r="BZ27" s="9"/>
      <c r="CA27" s="9">
        <v>0.57999999999999996</v>
      </c>
      <c r="CB27" s="9"/>
      <c r="CC27" s="9"/>
      <c r="CD27" s="9"/>
      <c r="CE27" s="9">
        <f>(4/40)*2</f>
        <v>0.2</v>
      </c>
      <c r="CF27" s="9"/>
      <c r="CG27" s="9"/>
      <c r="CH27" s="9"/>
      <c r="CI27" s="9"/>
      <c r="CJ27" s="9"/>
      <c r="CK27" s="9"/>
      <c r="CL27" s="9">
        <f>1/40</f>
        <v>2.5000000000000001E-2</v>
      </c>
    </row>
    <row r="28" spans="1:90" s="6" customFormat="1" ht="12.75" x14ac:dyDescent="0.2">
      <c r="A28" s="67" t="s">
        <v>6</v>
      </c>
      <c r="B28" s="57">
        <v>4</v>
      </c>
      <c r="C28" s="15"/>
      <c r="D28" s="13">
        <v>2</v>
      </c>
      <c r="E28" s="13">
        <f>12/40</f>
        <v>0.3</v>
      </c>
      <c r="F28" s="14"/>
      <c r="G28" s="11">
        <f>P28</f>
        <v>1</v>
      </c>
      <c r="H28" s="13">
        <f t="shared" si="18"/>
        <v>11</v>
      </c>
      <c r="I28" s="13">
        <v>3</v>
      </c>
      <c r="J28" s="13">
        <f t="shared" ref="J28" si="22">H28+I28</f>
        <v>14</v>
      </c>
      <c r="K28" s="79">
        <v>40</v>
      </c>
      <c r="L28" s="13">
        <f t="shared" si="10"/>
        <v>12</v>
      </c>
      <c r="M28" s="10">
        <f t="shared" si="21"/>
        <v>2</v>
      </c>
      <c r="N28" s="13">
        <f t="shared" ref="N28:N31" si="23">SUM(BN28:CL28)</f>
        <v>0</v>
      </c>
      <c r="O28" s="14">
        <f t="shared" si="11"/>
        <v>14</v>
      </c>
      <c r="P28" s="11">
        <v>1</v>
      </c>
      <c r="Q28" s="13">
        <v>3</v>
      </c>
      <c r="R28" s="13">
        <v>5</v>
      </c>
      <c r="S28" s="13"/>
      <c r="T28" s="13"/>
      <c r="U28" s="13"/>
      <c r="V28" s="13"/>
      <c r="W28" s="13"/>
      <c r="X28" s="13"/>
      <c r="Y28" s="13">
        <v>1</v>
      </c>
      <c r="Z28" s="13"/>
      <c r="AA28" s="13">
        <v>1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4">
        <v>2</v>
      </c>
      <c r="AO28" s="11"/>
      <c r="AP28" s="13">
        <f>8/40</f>
        <v>0.2</v>
      </c>
      <c r="AQ28" s="13"/>
      <c r="AR28" s="13"/>
      <c r="AS28" s="13"/>
      <c r="AT28" s="13"/>
      <c r="AU28" s="13"/>
      <c r="AV28" s="13"/>
      <c r="AW28" s="13"/>
      <c r="AX28" s="13">
        <f>24/40</f>
        <v>0.6</v>
      </c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>
        <f>8/40</f>
        <v>0.2</v>
      </c>
      <c r="BJ28" s="13"/>
      <c r="BK28" s="13"/>
      <c r="BL28" s="13"/>
      <c r="BM28" s="14"/>
      <c r="BN28" s="11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</row>
    <row r="29" spans="1:90" s="12" customFormat="1" ht="12.75" x14ac:dyDescent="0.2">
      <c r="A29" s="67" t="s">
        <v>5</v>
      </c>
      <c r="B29" s="61" t="s">
        <v>59</v>
      </c>
      <c r="C29" s="15"/>
      <c r="D29" s="13"/>
      <c r="E29" s="13"/>
      <c r="F29" s="14"/>
      <c r="G29" s="11">
        <f>P29</f>
        <v>0.75</v>
      </c>
      <c r="H29" s="13">
        <f t="shared" si="18"/>
        <v>1</v>
      </c>
      <c r="I29" s="13">
        <f>SUM(AO29:BM29)</f>
        <v>0</v>
      </c>
      <c r="J29" s="13">
        <f>H29+I29</f>
        <v>1</v>
      </c>
      <c r="K29" s="15">
        <v>40</v>
      </c>
      <c r="L29" s="13">
        <f>((K29*52)/2080)*SUM(P29:AM29)+SUM(AO29:BL29)</f>
        <v>1</v>
      </c>
      <c r="M29" s="15">
        <f t="shared" si="21"/>
        <v>0</v>
      </c>
      <c r="N29" s="13">
        <f t="shared" si="23"/>
        <v>0</v>
      </c>
      <c r="O29" s="14">
        <f>L29+(M29*(K29*52)/2080)+N29</f>
        <v>1</v>
      </c>
      <c r="P29" s="11">
        <v>0.75</v>
      </c>
      <c r="Q29" s="13"/>
      <c r="R29" s="13"/>
      <c r="S29" s="13"/>
      <c r="T29" s="13"/>
      <c r="U29" s="13"/>
      <c r="V29" s="13"/>
      <c r="W29" s="13"/>
      <c r="X29" s="13"/>
      <c r="Y29" s="13">
        <v>0.25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4"/>
      <c r="AO29" s="11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4"/>
      <c r="BN29" s="11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</row>
    <row r="30" spans="1:90" s="44" customFormat="1" ht="12.75" x14ac:dyDescent="0.2">
      <c r="A30" s="72" t="s">
        <v>4</v>
      </c>
      <c r="B30" s="59">
        <v>17</v>
      </c>
      <c r="C30" s="43"/>
      <c r="D30" s="42">
        <v>6</v>
      </c>
      <c r="E30" s="42"/>
      <c r="F30" s="40"/>
      <c r="G30" s="41">
        <f t="shared" si="0"/>
        <v>1</v>
      </c>
      <c r="H30" s="13">
        <f t="shared" si="18"/>
        <v>42.25</v>
      </c>
      <c r="I30" s="13">
        <v>1</v>
      </c>
      <c r="J30" s="13">
        <f>H30+I30</f>
        <v>43.25</v>
      </c>
      <c r="K30" s="43">
        <v>40</v>
      </c>
      <c r="L30" s="42">
        <f>((K30*52)/2080)*SUM(P30:AM30)+SUM(AO30:BL30)</f>
        <v>42.75</v>
      </c>
      <c r="M30" s="43">
        <f>AN30+BM30</f>
        <v>15</v>
      </c>
      <c r="N30" s="13">
        <f t="shared" si="23"/>
        <v>0</v>
      </c>
      <c r="O30" s="40">
        <f>L30+(M30*(K30*52)/2080)+N30</f>
        <v>57.75</v>
      </c>
      <c r="P30" s="41">
        <v>1</v>
      </c>
      <c r="Q30" s="42">
        <v>4</v>
      </c>
      <c r="R30" s="42">
        <v>1</v>
      </c>
      <c r="S30" s="42"/>
      <c r="T30" s="42">
        <v>17</v>
      </c>
      <c r="U30" s="42"/>
      <c r="V30" s="42">
        <v>4.75</v>
      </c>
      <c r="W30" s="42"/>
      <c r="X30" s="42"/>
      <c r="Y30" s="42"/>
      <c r="Z30" s="42">
        <v>1.5</v>
      </c>
      <c r="AA30" s="42">
        <v>6</v>
      </c>
      <c r="AB30" s="42"/>
      <c r="AC30" s="42"/>
      <c r="AD30" s="42"/>
      <c r="AE30" s="42"/>
      <c r="AF30" s="42">
        <v>0.5</v>
      </c>
      <c r="AG30" s="42">
        <v>1</v>
      </c>
      <c r="AH30" s="42">
        <v>1</v>
      </c>
      <c r="AI30" s="42"/>
      <c r="AJ30" s="42">
        <v>2</v>
      </c>
      <c r="AK30" s="42">
        <v>2</v>
      </c>
      <c r="AL30" s="42">
        <v>0.5</v>
      </c>
      <c r="AM30" s="42"/>
      <c r="AN30" s="40">
        <v>15</v>
      </c>
      <c r="AO30" s="41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>
        <f>20/40</f>
        <v>0.5</v>
      </c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0"/>
      <c r="BN30" s="41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</row>
    <row r="31" spans="1:90" s="12" customFormat="1" ht="12.75" x14ac:dyDescent="0.2">
      <c r="A31" s="67" t="s">
        <v>3</v>
      </c>
      <c r="B31" s="57">
        <v>13</v>
      </c>
      <c r="C31" s="15"/>
      <c r="D31" s="13">
        <v>8</v>
      </c>
      <c r="E31" s="13"/>
      <c r="F31" s="14"/>
      <c r="G31" s="11">
        <f t="shared" si="0"/>
        <v>1</v>
      </c>
      <c r="H31" s="13">
        <f t="shared" si="18"/>
        <v>34</v>
      </c>
      <c r="I31" s="13">
        <v>0</v>
      </c>
      <c r="J31" s="13">
        <f>SUM(P31:BM31)-BM31-AN31</f>
        <v>34</v>
      </c>
      <c r="K31" s="15">
        <v>37.5</v>
      </c>
      <c r="L31" s="13">
        <f>((K31*52)/2080)*SUM(P31:AM31)+SUM(AO31:BL31)</f>
        <v>31.875</v>
      </c>
      <c r="M31" s="15">
        <f>AN31+BM31</f>
        <v>13</v>
      </c>
      <c r="N31" s="13">
        <f t="shared" si="23"/>
        <v>0</v>
      </c>
      <c r="O31" s="14">
        <f>L31+(M31*(K31*52)/2080)+N31</f>
        <v>44.0625</v>
      </c>
      <c r="P31" s="11">
        <v>1</v>
      </c>
      <c r="Q31" s="13">
        <v>2.34</v>
      </c>
      <c r="R31" s="13">
        <v>13</v>
      </c>
      <c r="S31" s="13"/>
      <c r="T31" s="13"/>
      <c r="U31" s="13"/>
      <c r="V31" s="13">
        <v>4</v>
      </c>
      <c r="W31" s="13"/>
      <c r="X31" s="13">
        <v>2.5</v>
      </c>
      <c r="Y31" s="13">
        <v>1.5</v>
      </c>
      <c r="Z31" s="13">
        <v>2</v>
      </c>
      <c r="AA31" s="13">
        <v>1</v>
      </c>
      <c r="AB31" s="13">
        <v>2</v>
      </c>
      <c r="AC31" s="13"/>
      <c r="AD31" s="13">
        <v>1</v>
      </c>
      <c r="AE31" s="13"/>
      <c r="AF31" s="13">
        <v>0.33</v>
      </c>
      <c r="AG31" s="13">
        <v>0.33</v>
      </c>
      <c r="AH31" s="13">
        <v>1</v>
      </c>
      <c r="AI31" s="13"/>
      <c r="AJ31" s="13">
        <v>1</v>
      </c>
      <c r="AK31" s="13"/>
      <c r="AL31" s="13"/>
      <c r="AM31" s="13">
        <v>1</v>
      </c>
      <c r="AN31" s="14">
        <v>13</v>
      </c>
      <c r="AO31" s="11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  <c r="BN31" s="11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</row>
    <row r="32" spans="1:90" s="12" customFormat="1" ht="12.75" x14ac:dyDescent="0.2">
      <c r="A32" s="67" t="s">
        <v>2</v>
      </c>
      <c r="B32" s="61" t="s">
        <v>57</v>
      </c>
      <c r="C32" s="15"/>
      <c r="D32" s="13"/>
      <c r="E32" s="13"/>
      <c r="F32" s="14"/>
      <c r="G32" s="11"/>
      <c r="H32" s="13"/>
      <c r="I32" s="13"/>
      <c r="J32" s="13"/>
      <c r="K32" s="15"/>
      <c r="L32" s="13"/>
      <c r="M32" s="15"/>
      <c r="N32" s="13"/>
      <c r="O32" s="14"/>
      <c r="P32" s="11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4"/>
      <c r="AO32" s="11"/>
      <c r="AP32" s="13"/>
      <c r="AQ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4"/>
      <c r="BN32" s="11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</row>
    <row r="33" spans="1:90" s="12" customFormat="1" ht="12.75" x14ac:dyDescent="0.2">
      <c r="A33" s="67" t="s">
        <v>68</v>
      </c>
      <c r="B33" s="57">
        <v>9</v>
      </c>
      <c r="C33" s="15"/>
      <c r="D33" s="13">
        <v>3</v>
      </c>
      <c r="E33" s="13">
        <f>8/40</f>
        <v>0.2</v>
      </c>
      <c r="F33" s="14"/>
      <c r="G33" s="11">
        <f t="shared" si="0"/>
        <v>1</v>
      </c>
      <c r="H33" s="13">
        <f>SUM(P33:AN33)-AN33</f>
        <v>38.5</v>
      </c>
      <c r="I33" s="13">
        <v>9</v>
      </c>
      <c r="J33" s="13">
        <f>H33+I33</f>
        <v>47.5</v>
      </c>
      <c r="K33" s="15">
        <v>40</v>
      </c>
      <c r="L33" s="13">
        <f>((K33*52)/2080)*SUM(P33:AM33)+SUM(AO33:BL33)</f>
        <v>40.924999999999997</v>
      </c>
      <c r="M33" s="15">
        <f>AN33+BM33</f>
        <v>6</v>
      </c>
      <c r="N33" s="13">
        <f>SUM(BN33:CL33)</f>
        <v>6.5</v>
      </c>
      <c r="O33" s="14">
        <f>L33+(M33*(K33*52)/2080)+N33</f>
        <v>53.424999999999997</v>
      </c>
      <c r="P33" s="11">
        <v>1</v>
      </c>
      <c r="Q33" s="13">
        <v>4</v>
      </c>
      <c r="R33" s="13">
        <v>6</v>
      </c>
      <c r="S33" s="13">
        <v>4</v>
      </c>
      <c r="T33" s="13">
        <v>1</v>
      </c>
      <c r="U33" s="13">
        <v>1.5</v>
      </c>
      <c r="V33" s="13">
        <v>1</v>
      </c>
      <c r="W33" s="13"/>
      <c r="X33" s="13">
        <v>2</v>
      </c>
      <c r="Y33" s="13"/>
      <c r="Z33" s="13">
        <v>2</v>
      </c>
      <c r="AA33" s="13">
        <v>5.5</v>
      </c>
      <c r="AB33" s="13"/>
      <c r="AC33" s="13"/>
      <c r="AD33" s="13">
        <v>1</v>
      </c>
      <c r="AE33" s="13"/>
      <c r="AF33" s="13"/>
      <c r="AG33" s="13"/>
      <c r="AH33" s="13">
        <v>1</v>
      </c>
      <c r="AI33" s="13">
        <v>8.5</v>
      </c>
      <c r="AJ33" s="13"/>
      <c r="AK33" s="13"/>
      <c r="AL33" s="13"/>
      <c r="AM33" s="13"/>
      <c r="AN33" s="14">
        <v>6</v>
      </c>
      <c r="AO33" s="11"/>
      <c r="AP33" s="13">
        <f>12/40</f>
        <v>0.3</v>
      </c>
      <c r="AQ33" s="13"/>
      <c r="AR33" s="13">
        <f>35/40</f>
        <v>0.875</v>
      </c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H33" s="13">
        <f>30/40</f>
        <v>0.75</v>
      </c>
      <c r="BI33" s="13"/>
      <c r="BJ33" s="13"/>
      <c r="BK33" s="13"/>
      <c r="BL33" s="13">
        <f>20/40</f>
        <v>0.5</v>
      </c>
      <c r="BM33" s="14"/>
      <c r="BN33" s="11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>
        <f>120/40</f>
        <v>3</v>
      </c>
      <c r="BZ33" s="13"/>
      <c r="CA33" s="13">
        <f>100/40</f>
        <v>2.5</v>
      </c>
      <c r="CB33" s="13"/>
      <c r="CC33" s="13"/>
      <c r="CD33" s="13"/>
      <c r="CE33" s="13">
        <f>40/40</f>
        <v>1</v>
      </c>
      <c r="CF33" s="13"/>
      <c r="CG33" s="13"/>
      <c r="CH33" s="13"/>
      <c r="CI33" s="13"/>
      <c r="CJ33" s="13"/>
      <c r="CK33" s="13"/>
      <c r="CL33" s="13"/>
    </row>
    <row r="34" spans="1:90" s="12" customFormat="1" ht="12.75" x14ac:dyDescent="0.2">
      <c r="A34" s="67" t="s">
        <v>87</v>
      </c>
      <c r="B34" s="61" t="s">
        <v>58</v>
      </c>
      <c r="C34" s="15"/>
      <c r="D34" s="13"/>
      <c r="E34" s="13"/>
      <c r="F34" s="14"/>
      <c r="G34" s="11"/>
      <c r="H34" s="13"/>
      <c r="I34" s="9"/>
      <c r="J34" s="13"/>
      <c r="K34" s="15"/>
      <c r="L34" s="13"/>
      <c r="M34" s="15"/>
      <c r="N34" s="13"/>
      <c r="O34" s="14"/>
      <c r="P34" s="11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4"/>
      <c r="AO34" s="11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4"/>
      <c r="BN34" s="11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</row>
    <row r="35" spans="1:90" s="12" customFormat="1" ht="12.75" x14ac:dyDescent="0.2">
      <c r="A35" s="67" t="s">
        <v>71</v>
      </c>
      <c r="B35" s="57">
        <v>2</v>
      </c>
      <c r="C35" s="15"/>
      <c r="D35" s="13"/>
      <c r="E35" s="13">
        <f>20/40</f>
        <v>0.5</v>
      </c>
      <c r="F35" s="14"/>
      <c r="G35" s="11">
        <v>2</v>
      </c>
      <c r="H35" s="13">
        <f>SUM(P35:AN35)-AN35</f>
        <v>2</v>
      </c>
      <c r="I35" s="13">
        <f>SUM(AO35:BM35)</f>
        <v>0</v>
      </c>
      <c r="J35" s="13">
        <f>H35+I35</f>
        <v>2</v>
      </c>
      <c r="K35" s="15">
        <v>37.5</v>
      </c>
      <c r="L35" s="13">
        <f t="shared" si="10"/>
        <v>1.875</v>
      </c>
      <c r="M35" s="15">
        <f>AN35+BM35</f>
        <v>0</v>
      </c>
      <c r="N35" s="13">
        <f t="shared" si="4"/>
        <v>0</v>
      </c>
      <c r="O35" s="14">
        <f t="shared" si="11"/>
        <v>1.875</v>
      </c>
      <c r="P35" s="11">
        <v>2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4"/>
      <c r="AO35" s="11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4"/>
      <c r="BN35" s="11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</row>
    <row r="36" spans="1:90" s="12" customFormat="1" ht="12.75" x14ac:dyDescent="0.2">
      <c r="A36" s="67" t="s">
        <v>78</v>
      </c>
      <c r="B36" s="57">
        <v>4</v>
      </c>
      <c r="C36" s="15"/>
      <c r="D36" s="13">
        <v>4</v>
      </c>
      <c r="E36" s="13">
        <v>0.25</v>
      </c>
      <c r="F36" s="14"/>
      <c r="G36" s="11">
        <f>P36</f>
        <v>0.5</v>
      </c>
      <c r="H36" s="13">
        <f>SUM(P36:AN36)-AN36</f>
        <v>14.5</v>
      </c>
      <c r="I36" s="13"/>
      <c r="J36" s="13">
        <f>H36+I36</f>
        <v>14.5</v>
      </c>
      <c r="K36" s="15">
        <v>40</v>
      </c>
      <c r="L36" s="13">
        <f>((K36*52)/2080)*SUM(P36:AM36)+SUM(AO36:BL36)</f>
        <v>14.5</v>
      </c>
      <c r="M36" s="10">
        <f>AN36+BM36</f>
        <v>3</v>
      </c>
      <c r="N36" s="13">
        <f>SUM(BN36:CL36)</f>
        <v>0</v>
      </c>
      <c r="O36" s="14">
        <f>L36+(M36*(K36*52)/2080)+N36</f>
        <v>17.5</v>
      </c>
      <c r="P36" s="11">
        <v>0.5</v>
      </c>
      <c r="Q36" s="13">
        <v>1</v>
      </c>
      <c r="R36" s="13">
        <v>5</v>
      </c>
      <c r="S36" s="13"/>
      <c r="T36" s="13"/>
      <c r="U36" s="13"/>
      <c r="V36" s="13"/>
      <c r="W36" s="13">
        <v>2</v>
      </c>
      <c r="X36" s="13"/>
      <c r="Y36" s="13"/>
      <c r="Z36" s="13"/>
      <c r="AA36" s="13">
        <v>4</v>
      </c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>
        <v>2</v>
      </c>
      <c r="AN36" s="14">
        <v>3</v>
      </c>
      <c r="AO36" s="11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4"/>
      <c r="BN36" s="11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</row>
    <row r="37" spans="1:90" s="6" customFormat="1" ht="12.75" x14ac:dyDescent="0.2">
      <c r="A37" s="55" t="s">
        <v>1</v>
      </c>
      <c r="B37" s="57">
        <v>1</v>
      </c>
      <c r="C37" s="10"/>
      <c r="D37" s="9"/>
      <c r="E37" s="9">
        <f>(3/40)</f>
        <v>7.4999999999999997E-2</v>
      </c>
      <c r="F37" s="8"/>
      <c r="G37" s="11">
        <f t="shared" si="0"/>
        <v>1</v>
      </c>
      <c r="H37" s="13">
        <f t="shared" ref="H37:H38" si="24">SUM(P37:AN37)-AN37</f>
        <v>1</v>
      </c>
      <c r="I37" s="9">
        <f t="shared" ref="I37" si="25">SUM(AO37:BM37)</f>
        <v>0</v>
      </c>
      <c r="J37" s="13">
        <f>H37+I37</f>
        <v>1</v>
      </c>
      <c r="K37" s="10">
        <v>40</v>
      </c>
      <c r="L37" s="13">
        <f t="shared" si="10"/>
        <v>1</v>
      </c>
      <c r="M37" s="10">
        <f>AN37+BM37</f>
        <v>0</v>
      </c>
      <c r="N37" s="9">
        <f>SUM(BN37:CL37)</f>
        <v>0</v>
      </c>
      <c r="O37" s="14">
        <f t="shared" si="11"/>
        <v>1</v>
      </c>
      <c r="P37" s="7">
        <v>1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8"/>
      <c r="AO37" s="7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8"/>
      <c r="BN37" s="7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</row>
    <row r="38" spans="1:90" s="44" customFormat="1" ht="15.75" customHeight="1" x14ac:dyDescent="0.2">
      <c r="A38" s="72" t="s">
        <v>85</v>
      </c>
      <c r="B38" s="59">
        <v>8</v>
      </c>
      <c r="C38" s="43">
        <v>1</v>
      </c>
      <c r="D38" s="42">
        <v>2</v>
      </c>
      <c r="E38" s="42">
        <v>0.5</v>
      </c>
      <c r="F38" s="40"/>
      <c r="G38" s="41">
        <f>P38</f>
        <v>1</v>
      </c>
      <c r="H38" s="13">
        <f t="shared" si="24"/>
        <v>20</v>
      </c>
      <c r="I38" s="42">
        <v>4</v>
      </c>
      <c r="J38" s="42">
        <f>H38+I38</f>
        <v>24</v>
      </c>
      <c r="K38" s="43">
        <v>40</v>
      </c>
      <c r="L38" s="42">
        <f>((K38*52)/2080)*SUM(P38:AM38)+SUM(AO38:BL38)</f>
        <v>20</v>
      </c>
      <c r="M38" s="43">
        <f>AN38+BM38</f>
        <v>1</v>
      </c>
      <c r="N38" s="42">
        <f>SUM(BN38:CL38)</f>
        <v>0</v>
      </c>
      <c r="O38" s="40">
        <f>L38+(M38*(K38*52)/2080)+N38</f>
        <v>21</v>
      </c>
      <c r="P38" s="41">
        <v>1</v>
      </c>
      <c r="Q38" s="42">
        <v>10</v>
      </c>
      <c r="R38" s="42"/>
      <c r="S38" s="42"/>
      <c r="T38" s="42"/>
      <c r="U38" s="42"/>
      <c r="V38" s="42"/>
      <c r="W38" s="42">
        <v>4</v>
      </c>
      <c r="X38" s="42">
        <v>2</v>
      </c>
      <c r="Y38" s="42">
        <v>1</v>
      </c>
      <c r="Z38" s="42"/>
      <c r="AA38" s="42">
        <v>1</v>
      </c>
      <c r="AB38" s="42"/>
      <c r="AC38" s="42"/>
      <c r="AD38" s="42"/>
      <c r="AE38" s="42"/>
      <c r="AF38" s="42"/>
      <c r="AG38" s="42"/>
      <c r="AH38" s="42"/>
      <c r="AI38" s="42"/>
      <c r="AJ38" s="42">
        <v>1</v>
      </c>
      <c r="AK38" s="42"/>
      <c r="AL38" s="42"/>
      <c r="AM38" s="42"/>
      <c r="AN38" s="40">
        <v>1</v>
      </c>
      <c r="AO38" s="41"/>
      <c r="AP38" s="42"/>
      <c r="AQ38" s="42"/>
      <c r="AR38" s="71" t="s">
        <v>63</v>
      </c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0"/>
      <c r="BN38" s="41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</row>
    <row r="39" spans="1:90" s="6" customFormat="1" ht="19.5" customHeight="1" x14ac:dyDescent="0.2">
      <c r="A39" s="55" t="s">
        <v>0</v>
      </c>
      <c r="B39" s="58">
        <f t="shared" ref="B39:D39" si="26">SUM(B3:B38)</f>
        <v>201</v>
      </c>
      <c r="C39" s="58">
        <f t="shared" si="26"/>
        <v>3</v>
      </c>
      <c r="D39" s="7">
        <f t="shared" si="26"/>
        <v>60</v>
      </c>
      <c r="E39" s="7">
        <f>SUM(E3:E38)</f>
        <v>8.5282499999999999</v>
      </c>
      <c r="F39" s="7"/>
      <c r="G39" s="7">
        <f>SUM(G3:G38)</f>
        <v>33.25</v>
      </c>
      <c r="H39" s="7">
        <f>SUM(H3:H38)</f>
        <v>577.75</v>
      </c>
      <c r="I39" s="7">
        <f t="shared" ref="I39:O39" si="27">SUM(I3:I38)</f>
        <v>99.33</v>
      </c>
      <c r="J39" s="7">
        <f t="shared" si="27"/>
        <v>676.07999999999993</v>
      </c>
      <c r="K39" s="7"/>
      <c r="L39" s="7">
        <f t="shared" si="27"/>
        <v>568.69650000000001</v>
      </c>
      <c r="M39" s="58">
        <f t="shared" si="27"/>
        <v>85</v>
      </c>
      <c r="N39" s="7">
        <f t="shared" si="27"/>
        <v>12.625</v>
      </c>
      <c r="O39" s="7">
        <f t="shared" si="27"/>
        <v>663.32150000000001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</row>
    <row r="40" spans="1:90" ht="21.95" customHeight="1" x14ac:dyDescent="0.2">
      <c r="A40" s="76" t="s">
        <v>80</v>
      </c>
      <c r="B40" s="56"/>
      <c r="C40" s="56"/>
      <c r="O40" s="4"/>
      <c r="P40" s="5"/>
      <c r="AN40" s="4"/>
    </row>
    <row r="41" spans="1:90" ht="17.45" customHeight="1" x14ac:dyDescent="0.25">
      <c r="A41" s="70"/>
      <c r="O41" s="74"/>
    </row>
    <row r="42" spans="1:90" x14ac:dyDescent="0.25">
      <c r="A42" s="70"/>
      <c r="S42" s="64"/>
    </row>
  </sheetData>
  <mergeCells count="6">
    <mergeCell ref="BN1:CL1"/>
    <mergeCell ref="A1:A2"/>
    <mergeCell ref="B1:F1"/>
    <mergeCell ref="G1:O1"/>
    <mergeCell ref="P1:AN1"/>
    <mergeCell ref="AO1:BM1"/>
  </mergeCells>
  <conditionalFormatting sqref="BI26:CL26 K26 A36:F36 A38:F38 G36:G38 P10:XFD10 P38:CL38 P26:BG26 M38:N38 M10:O18 P28:CL31 P32:AQ32 AS32:CL32 P34:CL36 BH33:CL33 P33:BE33 K38 I38 P20:CL25 P18:AO18 AQ18:CL18 P11:CL17 P27:AS27 AU27:BA27 BC27:CL27 H37:H38 H26:I26 M3:CL9 L20:L38 H20:K25 A3:L18 A20:G35 H27:K36 O20:O38 M20:N36">
    <cfRule type="expression" dxfId="5" priority="8">
      <formula>MOD(ROW(),2)=0</formula>
    </cfRule>
  </conditionalFormatting>
  <conditionalFormatting sqref="A37:F37 I37 P37:CL37 M37:N37 K37">
    <cfRule type="expression" dxfId="4" priority="7">
      <formula>MOD(ROW(),2)=0</formula>
    </cfRule>
  </conditionalFormatting>
  <conditionalFormatting sqref="J26">
    <cfRule type="expression" dxfId="3" priority="6">
      <formula>MOD(ROW(),2)=0</formula>
    </cfRule>
  </conditionalFormatting>
  <conditionalFormatting sqref="A39:CL39">
    <cfRule type="expression" dxfId="2" priority="5">
      <formula>MOD(ROW(),2)=0</formula>
    </cfRule>
  </conditionalFormatting>
  <conditionalFormatting sqref="J37:J38">
    <cfRule type="expression" dxfId="1" priority="3">
      <formula>MOD(ROW(),2)=0</formula>
    </cfRule>
  </conditionalFormatting>
  <conditionalFormatting sqref="A19:CL19">
    <cfRule type="expression" dxfId="0" priority="1">
      <formula>MOD(ROW(),2)=0</formula>
    </cfRule>
  </conditionalFormatting>
  <pageMargins left="0.25" right="0.25" top="0.25" bottom="0.25" header="0.50980205599300099" footer="0.50980205599300099"/>
  <pageSetup scale="82" fitToWidth="0" fitToHeight="0" orientation="landscape" r:id="rId1"/>
  <colBreaks count="3" manualBreakCount="3">
    <brk id="15" max="1048575" man="1"/>
    <brk id="40" max="1048575" man="1"/>
    <brk id="65" max="1048575" man="1"/>
  </colBreaks>
  <ignoredErrors>
    <ignoredError sqref="H39" formula="1"/>
    <ignoredError sqref="L28 L6 L10 L14 L21 H2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Superior Staffing</vt:lpstr>
      <vt:lpstr>'2023 Superior Staffing'!Print_Titles</vt:lpstr>
    </vt:vector>
  </TitlesOfParts>
  <Company>Admin for the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Pardee, Michelle</dc:creator>
  <cp:lastModifiedBy>Pardee, Michelle</cp:lastModifiedBy>
  <cp:lastPrinted>2021-03-02T22:57:09Z</cp:lastPrinted>
  <dcterms:created xsi:type="dcterms:W3CDTF">2017-02-27T23:13:21Z</dcterms:created>
  <dcterms:modified xsi:type="dcterms:W3CDTF">2024-04-03T17:38:05Z</dcterms:modified>
</cp:coreProperties>
</file>